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1049617134c\Documents\BACKUP 2\2023\INFORME DE GESTION\"/>
    </mc:Choice>
  </mc:AlternateContent>
  <xr:revisionPtr revIDLastSave="0" documentId="13_ncr:1_{2034CCCE-C4AA-438F-ACF3-6D5F4835CC22}" xr6:coauthVersionLast="47" xr6:coauthVersionMax="47" xr10:uidLastSave="{00000000-0000-0000-0000-000000000000}"/>
  <bookViews>
    <workbookView xWindow="1710" yWindow="255" windowWidth="25785" windowHeight="13680" activeTab="1" xr2:uid="{00000000-000D-0000-FFFF-FFFF00000000}"/>
  </bookViews>
  <sheets>
    <sheet name="Analisis de Datos" sheetId="2" r:id="rId1"/>
    <sheet name="Contratación 2023 (2)" sheetId="4" r:id="rId2"/>
    <sheet name="Lista"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1" hidden="1">'Contratación 2023 (2)'!$A$1:$BV$174</definedName>
    <definedName name="_Hlk125366930" localSheetId="1">'Contratación 2023 (2)'!$M$62</definedName>
    <definedName name="_xlnm.Print_Area" localSheetId="1">'Contratación 2023 (2)'!$A$1:$BV$326</definedName>
    <definedName name="incBuyerDossierDetaillnkRequestName" localSheetId="1">'Contratación 2023 (2)'!$M$61</definedName>
    <definedName name="millon">#REF!</definedName>
  </definedNames>
  <calcPr calcId="181029"/>
  <pivotCaches>
    <pivotCache cacheId="8" r:id="rId1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T87" i="4" l="1"/>
  <c r="BJ87" i="4"/>
  <c r="AY87" i="4"/>
  <c r="AY135" i="4" l="1"/>
  <c r="AL135" i="4"/>
  <c r="BJ157" i="4" l="1"/>
  <c r="AY157" i="4"/>
  <c r="BT157" i="4" s="1"/>
  <c r="AY127" i="4" l="1"/>
  <c r="AL127" i="4"/>
  <c r="AY75" i="4"/>
  <c r="AL75" i="4"/>
  <c r="AY201" i="4" l="1"/>
  <c r="AY195" i="4"/>
  <c r="BT195" i="4" s="1"/>
  <c r="AS195" i="4"/>
  <c r="AY194" i="4"/>
  <c r="BT194" i="4" s="1"/>
  <c r="AS194" i="4"/>
  <c r="BJ194" i="4" s="1"/>
  <c r="AY189" i="4"/>
  <c r="BT189" i="4" s="1"/>
  <c r="AS189" i="4"/>
  <c r="BJ189" i="4" s="1"/>
  <c r="BT188" i="4"/>
  <c r="AY188" i="4"/>
  <c r="AS188" i="4"/>
  <c r="BJ188" i="4" s="1"/>
  <c r="AY187" i="4"/>
  <c r="BT187" i="4" s="1"/>
  <c r="AS187" i="4"/>
  <c r="BJ187" i="4" s="1"/>
  <c r="AY177" i="4"/>
  <c r="BT177" i="4" s="1"/>
  <c r="AS177" i="4"/>
  <c r="BJ177" i="4" s="1"/>
  <c r="AY175" i="4"/>
  <c r="BT175" i="4" s="1"/>
  <c r="AS175" i="4"/>
  <c r="BJ175" i="4" s="1"/>
  <c r="AL174" i="4"/>
  <c r="BJ173" i="4"/>
  <c r="AY173" i="4"/>
  <c r="BT173" i="4" s="1"/>
  <c r="AL173" i="4"/>
  <c r="AY172" i="4"/>
  <c r="AL172" i="4"/>
  <c r="AY171" i="4"/>
  <c r="AL171" i="4"/>
  <c r="AY170" i="4"/>
  <c r="AL170" i="4"/>
  <c r="AY169" i="4"/>
  <c r="AS169" i="4"/>
  <c r="AL169" i="4"/>
  <c r="AY168" i="4"/>
  <c r="AY167" i="4"/>
  <c r="BT167" i="4" s="1"/>
  <c r="AS167" i="4"/>
  <c r="BJ167" i="4" s="1"/>
  <c r="AY166" i="4"/>
  <c r="AY165" i="4"/>
  <c r="AL165" i="4"/>
  <c r="AY164" i="4"/>
  <c r="AL164" i="4"/>
  <c r="AY163" i="4"/>
  <c r="AY162" i="4"/>
  <c r="BT162" i="4" s="1"/>
  <c r="AS162" i="4"/>
  <c r="BJ162" i="4" s="1"/>
  <c r="AY161" i="4"/>
  <c r="BJ160" i="4"/>
  <c r="AY160" i="4"/>
  <c r="BT160" i="4" s="1"/>
  <c r="AY159" i="4"/>
  <c r="BT159" i="4" s="1"/>
  <c r="AS159" i="4"/>
  <c r="BJ159" i="4" s="1"/>
  <c r="BJ158" i="4"/>
  <c r="AY158" i="4"/>
  <c r="BT158" i="4" s="1"/>
  <c r="BJ156" i="4"/>
  <c r="AY156" i="4"/>
  <c r="BT156" i="4" s="1"/>
  <c r="BJ155" i="4"/>
  <c r="AY155" i="4"/>
  <c r="BT155" i="4" s="1"/>
  <c r="AY154" i="4"/>
  <c r="BT154" i="4" s="1"/>
  <c r="AS154" i="4"/>
  <c r="BJ154" i="4" s="1"/>
  <c r="AY153" i="4"/>
  <c r="BT153" i="4" s="1"/>
  <c r="AS153" i="4"/>
  <c r="BJ153" i="4" s="1"/>
  <c r="AY152" i="4"/>
  <c r="BT152" i="4" s="1"/>
  <c r="AS152" i="4"/>
  <c r="BJ152" i="4" s="1"/>
  <c r="AY151" i="4"/>
  <c r="BT151" i="4" s="1"/>
  <c r="AS151" i="4"/>
  <c r="BJ151" i="4" s="1"/>
  <c r="AL150" i="4"/>
  <c r="AY149" i="4"/>
  <c r="BT149" i="4" s="1"/>
  <c r="AS149" i="4"/>
  <c r="BJ149" i="4" s="1"/>
  <c r="BJ148" i="4"/>
  <c r="AY148" i="4"/>
  <c r="BT148" i="4" s="1"/>
  <c r="AL148" i="4"/>
  <c r="AY147" i="4"/>
  <c r="AS147" i="4"/>
  <c r="AL147" i="4"/>
  <c r="BJ146" i="4"/>
  <c r="AY146" i="4"/>
  <c r="BT146" i="4" s="1"/>
  <c r="AS146" i="4"/>
  <c r="AL145" i="4"/>
  <c r="AL144" i="4"/>
  <c r="AY143" i="4"/>
  <c r="AL143" i="4"/>
  <c r="AY142" i="4"/>
  <c r="BT142" i="4" s="1"/>
  <c r="AS142" i="4"/>
  <c r="BJ142" i="4" s="1"/>
  <c r="BT141" i="4"/>
  <c r="AL140" i="4"/>
  <c r="AL139" i="4"/>
  <c r="AY138" i="4"/>
  <c r="BT138" i="4" s="1"/>
  <c r="AS138" i="4"/>
  <c r="BJ138" i="4" s="1"/>
  <c r="AL137" i="4"/>
  <c r="AL136" i="4"/>
  <c r="BJ134" i="4"/>
  <c r="AY134" i="4"/>
  <c r="BT134" i="4" s="1"/>
  <c r="AL134" i="4"/>
  <c r="AL133" i="4"/>
  <c r="AY132" i="4"/>
  <c r="BT132" i="4" s="1"/>
  <c r="AS132" i="4"/>
  <c r="BJ132" i="4" s="1"/>
  <c r="AY131" i="4"/>
  <c r="BT131" i="4" s="1"/>
  <c r="AS131" i="4"/>
  <c r="BJ131" i="4" s="1"/>
  <c r="BJ130" i="4"/>
  <c r="AY129" i="4"/>
  <c r="BT129" i="4" s="1"/>
  <c r="AS129" i="4"/>
  <c r="BJ129" i="4" s="1"/>
  <c r="AL128" i="4"/>
  <c r="N128" i="4"/>
  <c r="O128" i="4" s="1"/>
  <c r="P128" i="4" s="1"/>
  <c r="Q128" i="4" s="1"/>
  <c r="R128" i="4" s="1"/>
  <c r="S128" i="4" s="1"/>
  <c r="T128" i="4" s="1"/>
  <c r="U128" i="4" s="1"/>
  <c r="V128" i="4" s="1"/>
  <c r="W128" i="4" s="1"/>
  <c r="X128" i="4" s="1"/>
  <c r="Y128" i="4" s="1"/>
  <c r="Z128" i="4" s="1"/>
  <c r="AA128" i="4" s="1"/>
  <c r="AB128" i="4" s="1"/>
  <c r="AC128" i="4" s="1"/>
  <c r="AD128" i="4" s="1"/>
  <c r="AE128" i="4" s="1"/>
  <c r="AF128" i="4" s="1"/>
  <c r="AG128" i="4" s="1"/>
  <c r="AH128" i="4" s="1"/>
  <c r="AI128" i="4" s="1"/>
  <c r="M128" i="4"/>
  <c r="AY126" i="4"/>
  <c r="BT126" i="4" s="1"/>
  <c r="AS126" i="4"/>
  <c r="BJ126" i="4" s="1"/>
  <c r="AY125" i="4"/>
  <c r="BT125" i="4" s="1"/>
  <c r="AS125" i="4"/>
  <c r="BJ125" i="4" s="1"/>
  <c r="BJ124" i="4"/>
  <c r="AY123" i="4"/>
  <c r="BT123" i="4" s="1"/>
  <c r="AS123" i="4"/>
  <c r="BJ123" i="4" s="1"/>
  <c r="AY122" i="4"/>
  <c r="BT122" i="4" s="1"/>
  <c r="AS122" i="4"/>
  <c r="BJ122" i="4" s="1"/>
  <c r="AY121" i="4"/>
  <c r="BT121" i="4" s="1"/>
  <c r="AS121" i="4"/>
  <c r="BJ121" i="4" s="1"/>
  <c r="AY120" i="4"/>
  <c r="BT120" i="4" s="1"/>
  <c r="AS120" i="4"/>
  <c r="BJ120" i="4" s="1"/>
  <c r="AY119" i="4"/>
  <c r="BT119" i="4" s="1"/>
  <c r="AL119" i="4"/>
  <c r="BJ118" i="4"/>
  <c r="AY118" i="4"/>
  <c r="BT118" i="4" s="1"/>
  <c r="AL118" i="4"/>
  <c r="AL117" i="4"/>
  <c r="AL116" i="4"/>
  <c r="AL115" i="4"/>
  <c r="BJ114" i="4"/>
  <c r="AY114" i="4"/>
  <c r="BT114" i="4" s="1"/>
  <c r="AL114" i="4"/>
  <c r="AY113" i="4"/>
  <c r="AL113" i="4"/>
  <c r="AL112" i="4"/>
  <c r="BJ111" i="4"/>
  <c r="AY111" i="4"/>
  <c r="BT111" i="4" s="1"/>
  <c r="AL110" i="4"/>
  <c r="AL109" i="4"/>
  <c r="AL108" i="4"/>
  <c r="AL107" i="4"/>
  <c r="BJ106" i="4"/>
  <c r="AY106" i="4"/>
  <c r="BT106" i="4" s="1"/>
  <c r="AL106" i="4"/>
  <c r="BJ105" i="4"/>
  <c r="AY105" i="4"/>
  <c r="BT105" i="4" s="1"/>
  <c r="AL105" i="4"/>
  <c r="BJ104" i="4"/>
  <c r="AY104" i="4"/>
  <c r="BT104" i="4" s="1"/>
  <c r="AL104" i="4"/>
  <c r="BJ103" i="4"/>
  <c r="AY103" i="4"/>
  <c r="BT103" i="4" s="1"/>
  <c r="AL103" i="4"/>
  <c r="BJ102" i="4"/>
  <c r="AY102" i="4"/>
  <c r="BT102" i="4" s="1"/>
  <c r="AL102" i="4"/>
  <c r="BJ101" i="4"/>
  <c r="AY101" i="4"/>
  <c r="BT101" i="4" s="1"/>
  <c r="AL101" i="4"/>
  <c r="BJ100" i="4"/>
  <c r="AY100" i="4"/>
  <c r="BT100" i="4" s="1"/>
  <c r="AL100" i="4"/>
  <c r="AY99" i="4"/>
  <c r="AL99" i="4"/>
  <c r="AL98" i="4"/>
  <c r="BJ97" i="4"/>
  <c r="AY97" i="4"/>
  <c r="BT97" i="4" s="1"/>
  <c r="BJ96" i="4"/>
  <c r="AY96" i="4"/>
  <c r="BT96" i="4" s="1"/>
  <c r="BJ95" i="4"/>
  <c r="AY95" i="4"/>
  <c r="BT95" i="4" s="1"/>
  <c r="BJ94" i="4"/>
  <c r="AY94" i="4"/>
  <c r="BT94" i="4" s="1"/>
  <c r="BJ93" i="4"/>
  <c r="AY93" i="4"/>
  <c r="BT93" i="4" s="1"/>
  <c r="BJ92" i="4"/>
  <c r="AY92" i="4"/>
  <c r="BT92" i="4" s="1"/>
  <c r="AY91" i="4"/>
  <c r="AL91" i="4"/>
  <c r="AY90" i="4"/>
  <c r="AS89" i="4"/>
  <c r="AY88" i="4"/>
  <c r="BJ86" i="4"/>
  <c r="AY86" i="4"/>
  <c r="BT86" i="4" s="1"/>
  <c r="AY85" i="4"/>
  <c r="BT85" i="4" s="1"/>
  <c r="AS85" i="4"/>
  <c r="AL85" i="4"/>
  <c r="AY84" i="4"/>
  <c r="BT84" i="4" s="1"/>
  <c r="AS84" i="4"/>
  <c r="AL84" i="4"/>
  <c r="AY83" i="4"/>
  <c r="BJ82" i="4"/>
  <c r="AY82" i="4"/>
  <c r="BT82" i="4" s="1"/>
  <c r="AS81" i="4"/>
  <c r="AS80" i="4"/>
  <c r="AS79" i="4"/>
  <c r="BJ78" i="4"/>
  <c r="AY78" i="4"/>
  <c r="BT78" i="4" s="1"/>
  <c r="BJ77" i="4"/>
  <c r="AY77" i="4"/>
  <c r="BT77" i="4" s="1"/>
  <c r="AL77" i="4"/>
  <c r="AS76" i="4"/>
  <c r="BJ74" i="4"/>
  <c r="AY74" i="4"/>
  <c r="BT74" i="4" s="1"/>
  <c r="AL74" i="4"/>
  <c r="BJ73" i="4"/>
  <c r="AY73" i="4"/>
  <c r="BT73" i="4" s="1"/>
  <c r="BJ72" i="4"/>
  <c r="AY72" i="4"/>
  <c r="BT72" i="4" s="1"/>
  <c r="AL72" i="4"/>
  <c r="AS71" i="4"/>
  <c r="AS70" i="4"/>
  <c r="AS69" i="4"/>
  <c r="AS68" i="4"/>
  <c r="AS67" i="4"/>
  <c r="BJ66" i="4"/>
  <c r="AY66" i="4"/>
  <c r="BT66" i="4" s="1"/>
  <c r="AS66" i="4"/>
  <c r="AL66" i="4"/>
  <c r="BJ65" i="4"/>
  <c r="AY65" i="4"/>
  <c r="BT65" i="4" s="1"/>
  <c r="AL65" i="4"/>
  <c r="BJ64" i="4"/>
  <c r="AY64" i="4"/>
  <c r="BT64" i="4" s="1"/>
  <c r="AS64" i="4"/>
  <c r="AL64" i="4"/>
  <c r="AY63" i="4"/>
  <c r="BJ62" i="4"/>
  <c r="AY62" i="4"/>
  <c r="BT62" i="4" s="1"/>
  <c r="AL62" i="4"/>
  <c r="BJ61" i="4"/>
  <c r="AY61" i="4"/>
  <c r="BT61" i="4" s="1"/>
  <c r="AL61" i="4"/>
  <c r="BJ60" i="4"/>
  <c r="AY60" i="4"/>
  <c r="BT60" i="4" s="1"/>
  <c r="AS60" i="4"/>
  <c r="AL60" i="4"/>
  <c r="BJ59" i="4"/>
  <c r="AY59" i="4"/>
  <c r="BT59" i="4" s="1"/>
  <c r="AS59" i="4"/>
  <c r="AL59" i="4"/>
  <c r="BJ58" i="4"/>
  <c r="AY58" i="4"/>
  <c r="BT58" i="4" s="1"/>
  <c r="AS58" i="4"/>
  <c r="AL58" i="4"/>
  <c r="BJ57" i="4"/>
  <c r="AY57" i="4"/>
  <c r="BT57" i="4" s="1"/>
  <c r="AS57" i="4"/>
  <c r="AL57" i="4"/>
  <c r="BJ56" i="4"/>
  <c r="AY56" i="4"/>
  <c r="BT56" i="4" s="1"/>
  <c r="AL56" i="4"/>
  <c r="BJ55" i="4"/>
  <c r="AY55" i="4"/>
  <c r="BT55" i="4" s="1"/>
  <c r="AL55" i="4"/>
  <c r="BJ54" i="4"/>
  <c r="AY54" i="4"/>
  <c r="AL54" i="4"/>
  <c r="BJ53" i="4"/>
  <c r="AY53" i="4"/>
  <c r="BT53" i="4" s="1"/>
  <c r="AS53" i="4"/>
  <c r="AL53" i="4"/>
  <c r="BJ52" i="4"/>
  <c r="AY52" i="4"/>
  <c r="BT52" i="4" s="1"/>
  <c r="AL52" i="4"/>
  <c r="BJ51" i="4"/>
  <c r="AY51" i="4"/>
  <c r="BT51" i="4" s="1"/>
  <c r="AL51" i="4"/>
  <c r="BJ50" i="4"/>
  <c r="AY50" i="4"/>
  <c r="BT50" i="4" s="1"/>
  <c r="AS50" i="4"/>
  <c r="AL50" i="4"/>
  <c r="BJ49" i="4"/>
  <c r="AY49" i="4"/>
  <c r="BT49" i="4" s="1"/>
  <c r="AS49" i="4"/>
  <c r="AL49" i="4"/>
  <c r="BJ48" i="4"/>
  <c r="AY48" i="4"/>
  <c r="AL48" i="4"/>
  <c r="BJ47" i="4"/>
  <c r="AY47" i="4"/>
  <c r="BT47" i="4" s="1"/>
  <c r="AL47" i="4"/>
  <c r="BJ46" i="4"/>
  <c r="AY46" i="4"/>
  <c r="BT46" i="4" s="1"/>
  <c r="AL46" i="4"/>
  <c r="BJ45" i="4"/>
  <c r="AY45" i="4"/>
  <c r="BT45" i="4" s="1"/>
  <c r="AL45" i="4"/>
  <c r="BJ44" i="4"/>
  <c r="AY44" i="4"/>
  <c r="BT44" i="4" s="1"/>
  <c r="AL44" i="4"/>
  <c r="BJ43" i="4"/>
  <c r="AY43" i="4"/>
  <c r="BT43" i="4" s="1"/>
  <c r="AL43" i="4"/>
  <c r="BJ42" i="4"/>
  <c r="AY42" i="4"/>
  <c r="BT42" i="4" s="1"/>
  <c r="AL42" i="4"/>
  <c r="BJ41" i="4"/>
  <c r="AY41" i="4"/>
  <c r="BT41" i="4" s="1"/>
  <c r="AL41" i="4"/>
  <c r="BJ40" i="4"/>
  <c r="AY40" i="4"/>
  <c r="BT40" i="4" s="1"/>
  <c r="AL40" i="4"/>
  <c r="BJ39" i="4"/>
  <c r="AY39" i="4"/>
  <c r="BT39" i="4" s="1"/>
  <c r="AL39" i="4"/>
  <c r="BJ38" i="4"/>
  <c r="AY38" i="4"/>
  <c r="BT38" i="4" s="1"/>
  <c r="AL38" i="4"/>
  <c r="BJ37" i="4"/>
  <c r="AY37" i="4"/>
  <c r="BT37" i="4" s="1"/>
  <c r="AL37" i="4"/>
  <c r="BJ36" i="4"/>
  <c r="AY36" i="4"/>
  <c r="BT36" i="4" s="1"/>
  <c r="AL36" i="4"/>
  <c r="BJ35" i="4"/>
  <c r="AY35" i="4"/>
  <c r="BT35" i="4" s="1"/>
  <c r="AL35" i="4"/>
  <c r="BJ34" i="4"/>
  <c r="AY34" i="4"/>
  <c r="BT34" i="4" s="1"/>
  <c r="AL34" i="4"/>
  <c r="BJ33" i="4"/>
  <c r="AY33" i="4"/>
  <c r="BT33" i="4" s="1"/>
  <c r="AL33" i="4"/>
  <c r="BJ32" i="4"/>
  <c r="AY32" i="4"/>
  <c r="BT32" i="4" s="1"/>
  <c r="AL32" i="4"/>
  <c r="BJ31" i="4"/>
  <c r="AY31" i="4"/>
  <c r="BT31" i="4" s="1"/>
  <c r="AL31" i="4"/>
  <c r="BJ30" i="4"/>
  <c r="AY30" i="4"/>
  <c r="BT30" i="4" s="1"/>
  <c r="AL30" i="4"/>
  <c r="BJ29" i="4"/>
  <c r="AY29" i="4"/>
  <c r="BT29" i="4" s="1"/>
  <c r="AL29" i="4"/>
  <c r="BJ28" i="4"/>
  <c r="AY28" i="4"/>
  <c r="BT28" i="4" s="1"/>
  <c r="AL28" i="4"/>
  <c r="BJ27" i="4"/>
  <c r="AY27" i="4"/>
  <c r="BT27" i="4" s="1"/>
  <c r="AL27" i="4"/>
  <c r="BJ26" i="4"/>
  <c r="AY26" i="4"/>
  <c r="BT26" i="4" s="1"/>
  <c r="AS26" i="4"/>
  <c r="AL26" i="4"/>
  <c r="BJ25" i="4"/>
  <c r="AY25" i="4"/>
  <c r="BT25" i="4" s="1"/>
  <c r="AL25" i="4"/>
  <c r="BJ24" i="4"/>
  <c r="AY24" i="4"/>
  <c r="BT24" i="4" s="1"/>
  <c r="AS24" i="4"/>
  <c r="AL24" i="4"/>
  <c r="BJ23" i="4"/>
  <c r="AY23" i="4"/>
  <c r="BT23" i="4" s="1"/>
  <c r="AS23" i="4"/>
  <c r="AL23" i="4"/>
  <c r="BJ22" i="4"/>
  <c r="AY22" i="4"/>
  <c r="BT22" i="4" s="1"/>
  <c r="AL22" i="4"/>
  <c r="BJ21" i="4"/>
  <c r="AY21" i="4"/>
  <c r="BT21" i="4" s="1"/>
  <c r="AL21" i="4"/>
  <c r="BJ20" i="4"/>
  <c r="AY20" i="4"/>
  <c r="BT20" i="4" s="1"/>
  <c r="AS20" i="4"/>
  <c r="AL20" i="4"/>
  <c r="BJ19" i="4"/>
  <c r="AY19" i="4"/>
  <c r="BT19" i="4" s="1"/>
  <c r="AL19" i="4"/>
  <c r="BJ18" i="4"/>
  <c r="AY18" i="4"/>
  <c r="BT18" i="4" s="1"/>
  <c r="AL18" i="4"/>
  <c r="BJ17" i="4"/>
  <c r="AY17" i="4"/>
  <c r="BT17" i="4" s="1"/>
  <c r="AL17" i="4"/>
  <c r="BJ16" i="4"/>
  <c r="AY16" i="4"/>
  <c r="BT16" i="4" s="1"/>
  <c r="AL16" i="4"/>
  <c r="BJ15" i="4"/>
  <c r="AY15" i="4"/>
  <c r="BT15" i="4" s="1"/>
  <c r="AL15" i="4"/>
  <c r="BJ14" i="4"/>
  <c r="AY14" i="4"/>
  <c r="BT14" i="4" s="1"/>
  <c r="AL14" i="4"/>
  <c r="BJ13" i="4"/>
  <c r="AY13" i="4"/>
  <c r="BT13" i="4" s="1"/>
  <c r="AL13" i="4"/>
  <c r="BJ12" i="4"/>
  <c r="AY12" i="4"/>
  <c r="BT12" i="4" s="1"/>
  <c r="AL12" i="4"/>
  <c r="BJ11" i="4"/>
  <c r="AY11" i="4"/>
  <c r="BT11" i="4" s="1"/>
  <c r="AS11" i="4"/>
  <c r="AL11" i="4"/>
  <c r="BJ10" i="4"/>
  <c r="AY10" i="4"/>
  <c r="BT10" i="4" s="1"/>
  <c r="AS10" i="4"/>
  <c r="AL10" i="4"/>
  <c r="BJ9" i="4"/>
  <c r="AY9" i="4"/>
  <c r="BT9" i="4" s="1"/>
  <c r="AS9" i="4"/>
  <c r="AL9" i="4"/>
  <c r="BJ8" i="4"/>
  <c r="AY8" i="4"/>
  <c r="BT8" i="4" s="1"/>
  <c r="AL8" i="4"/>
  <c r="BJ7" i="4"/>
  <c r="AY7" i="4"/>
  <c r="BT7" i="4" s="1"/>
  <c r="AL7" i="4"/>
  <c r="BJ6" i="4"/>
  <c r="AY6" i="4"/>
  <c r="BT6" i="4" s="1"/>
  <c r="AL6" i="4"/>
  <c r="BJ5" i="4"/>
  <c r="AY5" i="4"/>
  <c r="BT5" i="4" s="1"/>
  <c r="AL5" i="4"/>
  <c r="BJ4" i="4"/>
  <c r="AY4" i="4"/>
  <c r="BT4" i="4" s="1"/>
  <c r="AL4" i="4"/>
  <c r="BJ3" i="4"/>
  <c r="AY3" i="4"/>
  <c r="BT3" i="4" s="1"/>
  <c r="AL3" i="4"/>
  <c r="BJ2" i="4"/>
  <c r="AY2" i="4"/>
  <c r="BT2" i="4" s="1"/>
  <c r="AL2" i="4"/>
</calcChain>
</file>

<file path=xl/sharedStrings.xml><?xml version="1.0" encoding="utf-8"?>
<sst xmlns="http://schemas.openxmlformats.org/spreadsheetml/2006/main" count="4991" uniqueCount="1405">
  <si>
    <t>PLATAFORMA</t>
  </si>
  <si>
    <t xml:space="preserve">CONSECUTIVO PAABS EXCEL Y ESTUDIOS PREVIOS </t>
  </si>
  <si>
    <t>EXPEDIENTE</t>
  </si>
  <si>
    <t xml:space="preserve">N°PROCESO EN SECOP / No. EVENTO </t>
  </si>
  <si>
    <t>MES</t>
  </si>
  <si>
    <t>FECHA PUBLICACION PROCESO SECOP II-TIENDA VIRTUAL</t>
  </si>
  <si>
    <t>MODALIDAD</t>
  </si>
  <si>
    <t>CAUSAL</t>
  </si>
  <si>
    <t>OBJETO</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</si>
  <si>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</si>
  <si>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</si>
  <si>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</si>
  <si>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</si>
  <si>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</si>
  <si>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</si>
  <si>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</si>
  <si>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</si>
  <si>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</si>
  <si>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</si>
  <si>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</si>
  <si>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</si>
  <si>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</si>
  <si>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</si>
  <si>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CONTRATISTA</t>
  </si>
  <si>
    <t>IDENTIFICACION</t>
  </si>
  <si>
    <t>DV</t>
  </si>
  <si>
    <t>N° RP</t>
  </si>
  <si>
    <t>FECHA RP</t>
  </si>
  <si>
    <t>VALOR VF 2024</t>
  </si>
  <si>
    <t>VALOR VF 2025</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</si>
  <si>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</si>
  <si>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</si>
  <si>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</si>
  <si>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</si>
  <si>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</si>
  <si>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</si>
  <si>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</si>
  <si>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</si>
  <si>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</si>
  <si>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</si>
  <si>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</si>
  <si>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</si>
  <si>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</si>
  <si>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LIBERACION</t>
  </si>
  <si>
    <t xml:space="preserve">FECHA LIBERACION </t>
  </si>
  <si>
    <t>VALOR TOTAL DEL CONTRATO CON ADICIONES VIGENCIA</t>
  </si>
  <si>
    <t>PRORROGA 1  EN DIAS</t>
  </si>
  <si>
    <t>FECHADE TERMINACION DEL CONTRATO</t>
  </si>
  <si>
    <t>FECHA FIRMA DEL DOCUMENTO</t>
  </si>
  <si>
    <t>PRORROGA 2 EN DIAS</t>
  </si>
  <si>
    <t>PRORROGA 3 EN DIAS</t>
  </si>
  <si>
    <t>TIEMPO DE EJECUCION DEL CONTRATO CON LAS PRORROGAS</t>
  </si>
  <si>
    <t>FECHA DE LIQUIDACION DEL CONTRATO</t>
  </si>
  <si>
    <t xml:space="preserve">OBSERVACION </t>
  </si>
  <si>
    <t>Secop II</t>
  </si>
  <si>
    <t>Alejandra María Arcos Medina</t>
  </si>
  <si>
    <t>20236211413000002E</t>
  </si>
  <si>
    <t>Enero</t>
  </si>
  <si>
    <t>PCD-003-2023-48SYF</t>
  </si>
  <si>
    <t>Contratación Directa</t>
  </si>
  <si>
    <t xml:space="preserve">Prestación de Servicios Profesionales </t>
  </si>
  <si>
    <t>Subdirección Administrativa y Financiera</t>
  </si>
  <si>
    <t>Servicios de gestión, servicios profesionales de empresa y servicios administrativos</t>
  </si>
  <si>
    <t>A-02-02-02-008-003</t>
  </si>
  <si>
    <t>Celebrado</t>
  </si>
  <si>
    <t>En ejecución</t>
  </si>
  <si>
    <t>CO-016-2023</t>
  </si>
  <si>
    <t>Prestación de Servicios Profesionales</t>
  </si>
  <si>
    <t>Nivel Central</t>
  </si>
  <si>
    <t>Bogotá D.C.</t>
  </si>
  <si>
    <t>CO-007-2023</t>
  </si>
  <si>
    <t>CESAR DAVID CAPACHO PINEDA</t>
  </si>
  <si>
    <t>VALOR  2023</t>
  </si>
  <si>
    <t>VALOR VF 2026</t>
  </si>
  <si>
    <t>2 CUMPLIMIENTO</t>
  </si>
  <si>
    <t xml:space="preserve">Si </t>
  </si>
  <si>
    <t>20233001413000002E</t>
  </si>
  <si>
    <t>PCD-008-2023-5CM</t>
  </si>
  <si>
    <t>Subdireccion de Control Migratorio</t>
  </si>
  <si>
    <t>Prestación de servicios profesionales con autonomía técnica y administrativa para la realización del trámite de cuentas por pagar y obligaciones dentro del SIIF, así como la aplicación de retenciones y revisión de declaraciones tributarias a cargo de la entidad.</t>
  </si>
  <si>
    <t>PRESTAR LOS SERVICIOS PROFESIONALES CON AUTONOMÍA TÉCNICA Y ADMINISTRATIVA PARA APOYAR LA GESTIÓN DE LA SUBDIRECCIÓN DE CONTROL MIGRATORIO DE ACUERDO CON LAS CONDICIONES SEÑALADAS Y ESPECIFICACIONES TÉCNICAS DESCRITAS EN LOS ESTUDIOS PREVIOS.</t>
  </si>
  <si>
    <t>CO-038-2023</t>
  </si>
  <si>
    <t>MELISSA JOHANNA MONTOYA QUIRAMA</t>
  </si>
  <si>
    <t>MARTHA HERNANDEZ ARANGO</t>
  </si>
  <si>
    <t>20232501413000009E</t>
  </si>
  <si>
    <t>PCD-009-2023-9TEC</t>
  </si>
  <si>
    <t>Oficina de Tecnología de la Informacion</t>
  </si>
  <si>
    <t>Contratar la prestación de los servicios profesionales para administrar y desarrollar funcionalidades en el bus de datos Oracle</t>
  </si>
  <si>
    <t>Servicios Basados en Ingeniería, Investigación y Tecnología</t>
  </si>
  <si>
    <t>C-1199-1002-10-0-1199001-02</t>
  </si>
  <si>
    <t>CO-039-2023</t>
  </si>
  <si>
    <t>ANA JOHANA CAMELO BARRERA</t>
  </si>
  <si>
    <t>DIEGO EMILIO OJEDA MONCAYO</t>
  </si>
  <si>
    <t>20232501413000008E</t>
  </si>
  <si>
    <t>PCD-010-2023-8TEC</t>
  </si>
  <si>
    <t>Contratar la prestación de los servicios profesionales para apoyar la gestión de la Oficina de Tecnología de la Información de Migración Colombia, en las actividades propias del desarrollo de aplicaciones en lenguaje .NET</t>
  </si>
  <si>
    <t>CO-041-2023</t>
  </si>
  <si>
    <t>DANIEL MAURICIO AREVALO RAMIEZ</t>
  </si>
  <si>
    <t>20232401413000001E</t>
  </si>
  <si>
    <t xml:space="preserve">Oficina de Comunicaciones </t>
  </si>
  <si>
    <t>CONTRATAR LA PRESTACIÓN DE LOS SERVICIOS PROFESIONALES PARA LA OFICINA DE COMUNICACIONES, REALIZANDO LA GENERACIÓN DE CONTENIDOS DIGITALES EXTERNOS, PRODUCCIÓN DE EVENTOS CON GOBIERNO, GENERACIÓN DE CONTENIDOS WEB Y DISEÑO DE CAMPAÑAS INSTITUCIONALES</t>
  </si>
  <si>
    <t>20232501413000012E</t>
  </si>
  <si>
    <t>PCD-018-2023-4COM</t>
  </si>
  <si>
    <t>PCD-020-2023-12TEC</t>
  </si>
  <si>
    <t>Contratar la prestación de los servicios profesionales para administrar el centro de datos de la unidad
administrativa especial Migración Colombia.</t>
  </si>
  <si>
    <t>CO-027-2023</t>
  </si>
  <si>
    <t>JAIME ALEXANDER MÉNDEZ PULECIO</t>
  </si>
  <si>
    <t>20232501413000011E</t>
  </si>
  <si>
    <t>PCD-025-2023-60TEC</t>
  </si>
  <si>
    <t>Contratar la prestación de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</si>
  <si>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CO-023-2023</t>
  </si>
  <si>
    <t>20232501413000010E</t>
  </si>
  <si>
    <t>PCD-026-2023-11TEC</t>
  </si>
  <si>
    <t>Prestar los servicios profesionales para desarrollar actividades relacionadas con planes, programas, documentación y seguimiento a la contratación de la Oficina de Tecnología de la Información de Migración Colombia.</t>
  </si>
  <si>
    <t>CO-042-2023</t>
  </si>
  <si>
    <t>20232401413000004E</t>
  </si>
  <si>
    <t>PCD-027-2023-2COM</t>
  </si>
  <si>
    <t>Prestacion de Servicios de Apoyo a la Gestion</t>
  </si>
  <si>
    <t>Contratar la prestación de los servicios técnicos y administrativos como apoyo a la gestión de la Oficina de Comunicaciones para el manejo de las redes sociales de la entidad.</t>
  </si>
  <si>
    <t>CO-024-2023</t>
  </si>
  <si>
    <t>20234021413000002E</t>
  </si>
  <si>
    <t>PCD-056-2023-6E</t>
  </si>
  <si>
    <t>PRESTAR LOS SERVICIOS PROFESIONALES ESPECIALIZADOS EN LA SUBDIRECCIÓN DE EXTRANJERÍA CON AUTONOMÍA TÉCNICA Y ADMINISTRATIVA, DE ACUERDO CON LAS CONDICIONES SEÑALADAS Y ESPECIFICACIONES TÉCNICAS DESCRITAS EN LOS ESTUDIOS PREVIOS</t>
  </si>
  <si>
    <t>CO-055-2023</t>
  </si>
  <si>
    <t>MARGARITA MARIA BAUTISTA MARTINEZ</t>
  </si>
  <si>
    <t>20236231414000002E</t>
  </si>
  <si>
    <t>PCD-061-2023-33SYF</t>
  </si>
  <si>
    <t>Febrero</t>
  </si>
  <si>
    <t>Arrendamiento</t>
  </si>
  <si>
    <t>Contratar el arriendo del parqueadero para el CFSM en la ciudad de Valledupar</t>
  </si>
  <si>
    <t>Alquiler y arrendamiento de propiedades o edificaciones.</t>
  </si>
  <si>
    <t>A-02-02-02-007-002</t>
  </si>
  <si>
    <t>Desierto</t>
  </si>
  <si>
    <t>Cancelado</t>
  </si>
  <si>
    <t>20236311413000001E</t>
  </si>
  <si>
    <t>PCD-004-2023-1D</t>
  </si>
  <si>
    <t>Dirección General</t>
  </si>
  <si>
    <t>PRESTACIÖN DE SERVICIOS PROFESIONALES CON AUTONOMÍA TÉCNICA Y ADMINISTRATIVA PARA APOYAR LA GESTIÓN DE LA DIRECCIÓN GENERAL EN LA ESTRATEGIA DE COMUNICACIONES Y POSICIONAMIENTO DE LA ENTIDAD, DE CARA A LAS RELACIONES NACIONALES E INTERNACIONALES FRENTE A LOS PROCESOS DE GESTIÓN MIGRATORIA QUE SE DESARROLLAN EN EL PAÍS.</t>
  </si>
  <si>
    <t>Servicios de oficina</t>
  </si>
  <si>
    <t>CO-001-2023</t>
  </si>
  <si>
    <t>LESLIE CATALINA ESPARZA NARANJO</t>
  </si>
  <si>
    <t>-</t>
  </si>
  <si>
    <t>MARTHA EUGENIA RAMOS OSPINA</t>
  </si>
  <si>
    <t>20236011413000002E</t>
  </si>
  <si>
    <t>PRESTAR LOS SERVICIOS PROFESIONALES ESPECIALIZADO CON AUTONOMÍA TÉCNICA Y ADMINISTRATIVA PARA APOYAR LA GESTIÓN DE LA DIRECCIÓN GENERAL DE MIGRACIÓN COLOMBIA, DE ACUERDO CON LAS CONDICIONES SEÑALADAS Y ESPECIFICACIONES TÉCNICAS DESCRITAS EN LOS ESTUDIOS PREVIOS.</t>
  </si>
  <si>
    <t>CO-050-2023</t>
  </si>
  <si>
    <t>LUIS FERNANDO MARTÍNEZ VARGAS</t>
  </si>
  <si>
    <t>MARIA PAULA AVILA GONZALEZ</t>
  </si>
  <si>
    <t>20232121413000001E</t>
  </si>
  <si>
    <t>PCD-001-2023-1P</t>
  </si>
  <si>
    <t>Oficina Asesora de Planeación</t>
  </si>
  <si>
    <t>PRESTACIÓN DE SERVICIOS PROFESIONALES CON AUTONOMÍA TÉCNICA Y ADMINISTRATIVA EN  A LA OFICINA ASESORA DE PLANEACIÓN EN TEMAS DE DIRECCIONAMIENTO Y PLANEACIÓN ESTRATÉGICA EN EL MARCO DEL PLAN NACIONAL DE DESARROLLO, POLÍTICAS PÚBLICAS Y POLÍTICAS DE GESTIÓN INSTITUCIONAL.</t>
  </si>
  <si>
    <t>Servicios de personal temporal</t>
  </si>
  <si>
    <t>C-1199-1002-11-0-1199060-02</t>
  </si>
  <si>
    <t>CO-002-2023</t>
  </si>
  <si>
    <t>ANA MARIA OCHOA TABARES</t>
  </si>
  <si>
    <t>JORGE ENRIQUE GARCIA LONDOÑO</t>
  </si>
  <si>
    <t>20232121413000006E</t>
  </si>
  <si>
    <t>PCD-054-2023-2P</t>
  </si>
  <si>
    <t>PRESTACIÓN DE SERVICIOS PROFESIONALES CON AUTONOMÍA TÉCNICA Y ADMINISTRATIVA PARA LA OFICINA ASESORA DE PLANEACIÓN EN TEMAS DE MEJORA CONTINUA Y SISTEMA INTEGRADO DE GESTIÓN.</t>
  </si>
  <si>
    <t>801615;80121704;80101605;81102702</t>
  </si>
  <si>
    <t>Servicios de apoyo gerencial - Servicios legales sobre contratos - Servicios temporales de redacción - Servicio de ingeniería y diseño para sistemas de control de procesos</t>
  </si>
  <si>
    <t>CO-051-2023</t>
  </si>
  <si>
    <t>HENRY SANTIAGO GUILLEN CABRERA</t>
  </si>
  <si>
    <t>20232241413000002E</t>
  </si>
  <si>
    <t>PCD-037-2023-1J</t>
  </si>
  <si>
    <t>Oficina Asesora Jurídica</t>
  </si>
  <si>
    <t xml:space="preserve">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t>
  </si>
  <si>
    <t>81101508;80161500;80161504;80121704</t>
  </si>
  <si>
    <t>Ingeniería arquitectónica - Servicios de apoyo gerencial - Servicios de oficina - Servicios legales sobre contratos</t>
  </si>
  <si>
    <t>CO-029-2023</t>
  </si>
  <si>
    <t>ANA CONSTANZA POLANIA</t>
  </si>
  <si>
    <t>CARLOS JULIO AVILA CORONEL</t>
  </si>
  <si>
    <t>20232401413000005E</t>
  </si>
  <si>
    <t>PCD-038-2023-3COM</t>
  </si>
  <si>
    <t>PARTICIPAR, IMPLEMENTAR Y ACOMPAÑAR LA EJECUCIÓN DE LAS ACCIONES PLANEADAS POR LA OFICINA DE COMUNICACIONES Y SERVICIO  PARA COMUNICACIÓN INTERNA DE MIGRACIÓN COLOMBIA EN DESARROLLO DE SU MISIONALIDAD Y DE ACUERDO CON LAS NECESIDADES DE LA ENTIDAD.</t>
  </si>
  <si>
    <t>CO-028-2023</t>
  </si>
  <si>
    <t>LUIS ALFONSO VIECCO ROSADO</t>
  </si>
  <si>
    <t>MARITZA ROCIO SERRANO VILLAMIL</t>
  </si>
  <si>
    <t>20232501413000001E</t>
  </si>
  <si>
    <t>PCD-015-2023-1TEC</t>
  </si>
  <si>
    <t>PRESTAR LOS SERVICIOS PROFESIONALES PARA DESARROLLAR ACTIVIDADES RELACIONADAS CON TEMAS CONTRACTUALES  DE LA OFICINA DE TECNOLOGÍA DE LA INFORMACIÓN DE MIGRACIÓN COLOMBIA.</t>
  </si>
  <si>
    <t>81111800;80111600</t>
  </si>
  <si>
    <t>Servicios de sistemas y administración de componentes de sistemas - Servicios de personal temporal</t>
  </si>
  <si>
    <t>CO-005-2023</t>
  </si>
  <si>
    <t>NORA CONSTANZA PARRA NARANJO</t>
  </si>
  <si>
    <t>20236001413000003E</t>
  </si>
  <si>
    <t>PCD-019-2023-2SG</t>
  </si>
  <si>
    <t>Secretaria General</t>
  </si>
  <si>
    <t>PRESTAR LOS SERVICIOS PROFESIONALES ESPECIALIZADOS CON AUTONOMÍA TÉCNICA Y ADMINISTRATIVA PARA APOYAR A LA SECRETARIA GENERAL DE MIGRACIÓN COLOMBIA DE ACUERDO CON LAS CONDICIONES SEÑALADAS Y ESPECIFICACIONES TÉCNICAS DESCRITAS EN LOS ESTUDIOS PREVIOS.</t>
  </si>
  <si>
    <t>CO-009-2023</t>
  </si>
  <si>
    <t>LIZETH ISABOT CORTES  ESPITIA</t>
  </si>
  <si>
    <t>RIGOBERTO NIÑO CORREDOR</t>
  </si>
  <si>
    <t>20236251413000001E</t>
  </si>
  <si>
    <t>PCD-024-2023-46SYF</t>
  </si>
  <si>
    <t>PRESTACIÓN DE SERVICIOS PROFESIONALES CON AUTONOMÍA TÉCNICA Y ADMINISTRATIVA  EN TEMAS RELACIONADOS CON LA GESTIÓN DE CARTERA Y ESTRUCTURACIÓN DE PROCESOS,  AL GRUPO DE SOPORTE A LA GESTIÓN REGIONAL  DE LA  
SUBDIRECCIÓN ADMINISTRATIVA Y FINANCIERA,  DE ACUERDO CON LAS CONDICIONES Y ESPECIFICACIONES TÉCNICAS DESCRITAS EN LOS ESTUDIOS PREVIOS.</t>
  </si>
  <si>
    <t>CO-021-2023</t>
  </si>
  <si>
    <t>EMIGDIO NEL TRIANA LOPEZ</t>
  </si>
  <si>
    <t>CLAUDIA PATRICIA APONTE BELEÑO</t>
  </si>
  <si>
    <t>20236211413000001E</t>
  </si>
  <si>
    <t>PCD-017-2023-47SYF</t>
  </si>
  <si>
    <t>PRESTACIÓN DE SERVICIOS PROFESIONALES  CON AUTONOMÍA TÉCNICA Y ADMINISTRATIVA EN TEMAS CONTABLES Y TRIBUTARIOS AL GRUPO FINANCIERO DE LA  SUBDIRECCIÓN ADMINISTRATIVA Y FINANCIERA, DE ACUERDO CON LAS CONDICIONES Y ESPECIFICACIONES TÉCNICAS DESCRITAS EN LOS ESTUDIOS PREVIOS.</t>
  </si>
  <si>
    <t>80161504;80111605</t>
  </si>
  <si>
    <t>Servicios de oficina - Necesidades de dotación de personal financiero temporal</t>
  </si>
  <si>
    <t>CO-006-2023</t>
  </si>
  <si>
    <t>OSCAR LIBARDO LANCHEROS BUITRAGO</t>
  </si>
  <si>
    <t>GUSTAVO ALBERTO PADILLA</t>
  </si>
  <si>
    <t>20236231413000001E</t>
  </si>
  <si>
    <t>PCD-002-2023-49SYF</t>
  </si>
  <si>
    <t>PRESTACIÓN DE SERVICIOS PROFESIONALES  CON AUTONOMÍA TÉCNICA Y ADMINISTRATIVA  PARA LA GESTIÓN CONTRACTUAL, ELABORACIÓN Y PUBLICACIÓN DE DOCUMENTOS ASIGNADOS EN LAS DIFERENTES MODALIDADES, ASI COMO LA GESTIÓN POSCONTRACTUAL DE LOS PROCESOS QUE SE ADELANTAN EN LA UEMC.</t>
  </si>
  <si>
    <t>CO-018-2023</t>
  </si>
  <si>
    <t>ALEJANDRA MARIA ARCOS MEDINA</t>
  </si>
  <si>
    <t>JOSE CLEMENTE GOMEZ ROMERO</t>
  </si>
  <si>
    <t>20235051413000001E</t>
  </si>
  <si>
    <t>PCD-016-2023-1V</t>
  </si>
  <si>
    <t>Subdirección de Verificación Migratoria</t>
  </si>
  <si>
    <t>PRESTACIÓN DE SERVICIOS PROFESIONALES CON AUTONOMÍA TÉCNICA Y ADMINISTRATIVA DE APOYO A LA SUBDIRECCIÓN DE VERIFICACIONES EN ASUNTOS DE ESTADÍSTICA Y VISUALIZACIÓN DE DATOS</t>
  </si>
  <si>
    <t>81101508;80161504;80121704;81112002;</t>
  </si>
  <si>
    <t>Ingeniería arquitectónica - Servicios de oficina - Servicios legales sobre contratos - Servicios de procesamiento o preparación de dato</t>
  </si>
  <si>
    <t>CO-008-2023</t>
  </si>
  <si>
    <t>JAIRO DANILO GUTIERREZ CASTILLO</t>
  </si>
  <si>
    <t>Dayanna Prieto Villalba</t>
  </si>
  <si>
    <t>20232501413000003E</t>
  </si>
  <si>
    <t xml:space="preserve">contratacion directa </t>
  </si>
  <si>
    <t>prestacion de servicios profesionales</t>
  </si>
  <si>
    <t>oficina tecnologias de la informacion</t>
  </si>
  <si>
    <t>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t>
  </si>
  <si>
    <t>81-11-15</t>
  </si>
  <si>
    <t>Servicios Basados en Ingeniería, Investigación y Tecnología -Servicios informáticos-Ingeniería de software o hardware</t>
  </si>
  <si>
    <t>CO-031-2023</t>
  </si>
  <si>
    <t>si</t>
  </si>
  <si>
    <t>20232501413000006E</t>
  </si>
  <si>
    <t>Contratar la prestación de los servicios profesionales, para las actividades propias del desarrollo de aplicaciones java de los requerimientos e incidentes de la unidad administrativa especial migración Colombia</t>
  </si>
  <si>
    <t>CO-032-2023</t>
  </si>
  <si>
    <t>20232501413000004E</t>
  </si>
  <si>
    <t>CO-033-2023</t>
  </si>
  <si>
    <t>BALDWIN GABRIEL MONTES PEREZ</t>
  </si>
  <si>
    <t>20232501413000005E</t>
  </si>
  <si>
    <t>Contratar la prestación de los servicios profesionales, para las actividades propias del desarrollo de aplicaciones java de los requerimientos e incidentes de la unidad administrativa especial Migración Colombia</t>
  </si>
  <si>
    <t>CO-034-2023</t>
  </si>
  <si>
    <t>20232501413000007E</t>
  </si>
  <si>
    <t>Contratar la prestación de servicios profesionales para la configuración de ambientes, aplicaciones y versionamiento de código fuente de los sistemas de información de Migración Colombia</t>
  </si>
  <si>
    <t>CO-035-2023</t>
  </si>
  <si>
    <t>20232261413000001E</t>
  </si>
  <si>
    <t>oficina asesora juridica</t>
  </si>
  <si>
    <t>CONTRATAR LA PRESTACION DE SERVICIOS PROFESIONALES CON AUTONOMÍA TÉCNICA Y ADMINISTRATIVA, PARA APOYAR LA GESTIÓN DEL GRUPO DE APOYO CONTRACTUAL DE LA OFICINA ASESORA JURÍDICA, DE ACUERDO CON LAS CONDICIONES SEÑALADAS Y ESPECIFICACIONES TÉCNICAS DESCRITAS EN LOS ESTUDIOS PREVIOS</t>
  </si>
  <si>
    <t>80-16-15-04</t>
  </si>
  <si>
    <t>Servicios de Gestión, Servicios Profesionales de Empresa y Servicios Administrativos- Servicios de Administración de Empresas- Servicios de Apoyo Gerencial- Servicios de oficina</t>
  </si>
  <si>
    <t>CO-036-2023</t>
  </si>
  <si>
    <t>20232401413000003E</t>
  </si>
  <si>
    <t xml:space="preserve">oficina  de  comunicaciones </t>
  </si>
  <si>
    <t>Contratar la prestación de los servicios técnicos y administrativos como apoyo a la gestión de la Oficina de Comunicaciones y Servicio al Ciudadano</t>
  </si>
  <si>
    <t>CO-043-2023</t>
  </si>
  <si>
    <t>EDGAR AURELIO MATIZ MENJURA</t>
  </si>
  <si>
    <t>20232401413000002E</t>
  </si>
  <si>
    <t>Contratar la prestación de los servicios profesionales para la Oficina de Comunicaciones como apoyo a la gestión y producción con los medios masivos de comunicación</t>
  </si>
  <si>
    <t>80-16-15-05</t>
  </si>
  <si>
    <t>CO--045-2023</t>
  </si>
  <si>
    <t>20236111413000001E</t>
  </si>
  <si>
    <t>subdireccion talento humano</t>
  </si>
  <si>
    <t>CONTRATAR LA PRESTACIÓN DE SERVICIOS PROFESIONALES ESPECIALIZADOS CON AUTONOMÍA TÉCNICA Y ADMINISTRATIVA PARA ACOMPAÑAR Y ORIENTAR JURÍDICAMENTE A LA SUBDIRECCIÓN DE TALENTO HUMANO DE MIGRACIÓN COLOMBIA EN LOS PROCESOS JURÍDICOS Y SOBRE TEMAS ADMINISTRATIVOS Y CONTRACTUALES, ENTRE OTROS ESPECIALIZADOS DEL CAMPO DEL DERECHO Y DE ACUERDO CON LAS FUNCIONES DE LA SUBDIRECCIÓN</t>
  </si>
  <si>
    <t>80-16-15</t>
  </si>
  <si>
    <t>Servicios de gestión, servicios profesionales de empresa y servicios administrativos-  Servicios de Administración de empresas- Servicios de Apoyo Gerencial</t>
  </si>
  <si>
    <t>CO-046-2023</t>
  </si>
  <si>
    <t>JUAN CARLOS LOPEZ RICO</t>
  </si>
  <si>
    <t>20232241413000004E</t>
  </si>
  <si>
    <t>PRESTACION DE SERVICIOS DE APOYO A LA GESTIÓN CON AUTONOMÍA TÉCNICA Y ADMINISTRATIVA PARA APOYAR AL GRUPO DE DEFENSA JUDICIAL, EXTRAJUDICIAL Y VÍA ADMINISTRATIVA DE LA OFICINA ASESORA JURÍDICA DE MIGRACIÓN COLOMBIA DE ACUERDO CON LAS CONDICIONES SEÑALADAS Y ESPECIFICACIONES TÉCNICAS DESCRITAS EN LOS ESTUDIOS PREVIOS</t>
  </si>
  <si>
    <t>CO-048-2023</t>
  </si>
  <si>
    <t>NUBIA AMPARO RODRIGUEZ MORENO</t>
  </si>
  <si>
    <t>20232501413000002E</t>
  </si>
  <si>
    <t>Contratar la prestación de los servicios profesionales en las actividades propias de levantamiento, especificaciónde requerimientos, pruebas y capacitación para el desarrollo de los sistemas de información de Migración Colombia</t>
  </si>
  <si>
    <t>CO-026-2023</t>
  </si>
  <si>
    <t>20236001413000002E</t>
  </si>
  <si>
    <t>secretaria general</t>
  </si>
  <si>
    <t>PRESTAR LOS SERVICIOS PROFESIONALES ESPECIALIZADOS CON AUTONOMÍA TÉCNICA Y ADMINISTRATIVA PARA EL APOYO Y ACOMPAÑAMIENTO A LA SECRETARIA GENERAL EN TEMAS RELACIONADOS CON LAS COMUNICACIONES DE LA UNIDAD ADMINISTRATIVA ESPECIAL MIGRACIÓN COLOMBIA</t>
  </si>
  <si>
    <t>CO-025-2023</t>
  </si>
  <si>
    <t>HÉCTOR PINILLA</t>
  </si>
  <si>
    <t>PCD-022-2023-3TEC</t>
  </si>
  <si>
    <t>PCD-033-2023-6TEC</t>
  </si>
  <si>
    <t>PCD-034-2023-4TEC</t>
  </si>
  <si>
    <t>PCD-035-2023-5TEC</t>
  </si>
  <si>
    <t>PCD-036-2023-7TEC</t>
  </si>
  <si>
    <t>PCD-007-2023-7J</t>
  </si>
  <si>
    <t>PCD-045-2023-1COM</t>
  </si>
  <si>
    <t>PCD-041-2023-5COM</t>
  </si>
  <si>
    <t>PCD-043-2023-12TH</t>
  </si>
  <si>
    <t>PCD-055-2023-4J</t>
  </si>
  <si>
    <t>PCD-021-2023-2TEC</t>
  </si>
  <si>
    <t>PCD-012-2023-1SG</t>
  </si>
  <si>
    <t>20236221413000002E</t>
  </si>
  <si>
    <t>Prestación de servicios Profesionales</t>
  </si>
  <si>
    <t>Grupo de Archivo y Correspondencia</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</si>
  <si>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</si>
  <si>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Serv icios de Apoyo Gerencial.</t>
  </si>
  <si>
    <t>C-1199-1002-8-0-1199018-02</t>
  </si>
  <si>
    <t xml:space="preserve">Nivel Central </t>
  </si>
  <si>
    <t>FREDDY STEVE CAMARGO BARRETO</t>
  </si>
  <si>
    <t>SI</t>
  </si>
  <si>
    <t>PEREZ ARISMENDI ANDREA</t>
  </si>
  <si>
    <t>20236221413000001E</t>
  </si>
  <si>
    <t>Prestación de serv icios profesionales con autonomía técnica y administrativ a en el proceso de gestión documental dando cumplimiento a lo establecido por el archivo general de la nación y las necesidades de la uaemc.</t>
  </si>
  <si>
    <t>MARIA FERNANDA AGUIRRE GARZÓN</t>
  </si>
  <si>
    <t>20236211413000003E</t>
  </si>
  <si>
    <t>Sub. Adm y financiera - Grupo Administrativo</t>
  </si>
  <si>
    <t>Contratar la prestación de servicios profesionales con autonomía técnica y administrativa para gestionar, acompañar y orientar jurídicamente a la subdirección administrativa y financiera de Migración Colombia en la aplicación y desarrollo de normas e instrumentos jurídico - legales sobre temas administrativos y contractuales entre otros, en especial lo relacionado con el proyecto de inversión de infraestructura de la UAEMC.</t>
  </si>
  <si>
    <t xml:space="preserve"> C -1103-1002-2-0-1103002-02</t>
  </si>
  <si>
    <t>SANDRA MILENA MORENO ACEVEDO</t>
  </si>
  <si>
    <t>20236211413000004E</t>
  </si>
  <si>
    <t>Prestar los servicios profesionales con autonomía técnica y administrativa dentro del grupo de gestión administrativa, en lo relacionado con la etapa precontractual, así como la evaluación de procesos de infraestructura</t>
  </si>
  <si>
    <t>C-1103-1002-2-0-1103002-02</t>
  </si>
  <si>
    <t>HERNANDO ERNESTO GONZÁLEZ ATUESTA</t>
  </si>
  <si>
    <t>CAMARGO SEGURA ELIANA CRISTINA</t>
  </si>
  <si>
    <t>20233001413000001E</t>
  </si>
  <si>
    <t>Subdirección de Control Migratorio</t>
  </si>
  <si>
    <t>PRESTAR LOS SERVICIOS PROFESIONALES CON AUTONOMÍA TÉCNICA Y ADMINISTRATIVA PARA APOYAR LA GESTIÓN DE LA SUBDIRECCIÓN DE CONTROL MIGRATORIO DE ACUERDO CON LAS CONDICIONES SEÑALADAS Y ESPECIFICACIONES TÉCNICAS DESCRITAS EN LOS ESTUDIOS PREVIOS</t>
  </si>
  <si>
    <t>Servicios de Oficina</t>
  </si>
  <si>
    <t xml:space="preserve">A-02-02-02-008-003 </t>
  </si>
  <si>
    <t>JOSÉ LEONARDO BECERRA APÍSCOPE</t>
  </si>
  <si>
    <t>USECHE OVALLES CARLOS EDUARDO</t>
  </si>
  <si>
    <t>20233001413000003E</t>
  </si>
  <si>
    <t>PRES TA R L OS SE RVI CI OS PR OFE SI ON ALES C ON AU TON OMÍA TÉ C NI CA Y A DM INI S TR ATIVA P AR A AP OY AR L A GESTI ÓN DE LA SUBDI REC CI ÓN DE C ON TR OL MIGRATORI O DE A CUER D O C ON LAS C ON DICI ONES SEÑALA DAS Y ESPECIFICACIONES TÉCNICAS DESCRITAS EN LOS ESTUDIOS PREVIOS</t>
  </si>
  <si>
    <t>DANIEL RODRÍGUEZ RAMÍREZ</t>
  </si>
  <si>
    <t>HERNANDEZ ARANGO MARTHA</t>
  </si>
  <si>
    <t>20236221413000003E</t>
  </si>
  <si>
    <t>Grupo de Archivo y Correspondencia - Tecnología</t>
  </si>
  <si>
    <t>Apoy ar a Migración Colombia en el desarrollo de nuevas funcionalidades y el mantenimiento, optimización e integración del sistema de gestión documental Orfeo.</t>
  </si>
  <si>
    <t>Serv icios de program ación de aplicacio nes</t>
  </si>
  <si>
    <t>FABIAN MAURICIO LOSADA FLÓREZ</t>
  </si>
  <si>
    <t> OJEDA MONCAYO DIEGO EMILIO</t>
  </si>
  <si>
    <t>20236231415000001E</t>
  </si>
  <si>
    <t>Exclusividad</t>
  </si>
  <si>
    <t>CONTRATAR EL SERVICIO DE MANTENIMIENTO PREVENTIVO DE LA MÁQUINA LÁSER TROTEC SP100R C30 Y DEL SUMINISTRO DEL SISTEMA DE EXTRACCIÓN 8260 ATMOS MONO Y SU RESPECTIVA BOLSA DE REPUESTOS.</t>
  </si>
  <si>
    <t>Servicios de mantenimien to y reparación de equipo de manufactura</t>
  </si>
  <si>
    <t>20234021413000001E</t>
  </si>
  <si>
    <t>Subdirección de Extranjeria</t>
  </si>
  <si>
    <t>PRESTAR LOS SERVICIOS PROFESIONALES EN LA SUBDIRECCIÓN DE EXTRANJERÍA CON AUTONOMÍA TÉCNICA Y ADMINISTRATIVA, DE ACUERDO CON LAS CONDICIONES SEÑALADAS Y ESPECIFICACIONES TÉCNICAS DESCRITAS EN LOS ESTUDIOS PREVIOS</t>
  </si>
  <si>
    <t>Serv icios de Personal temporal</t>
  </si>
  <si>
    <t>OSCAR FERNANDO FAJARDO</t>
  </si>
  <si>
    <t>BAUTISTA MARTINEZ MARGARITA MARIA</t>
  </si>
  <si>
    <t>20236231414000001E</t>
  </si>
  <si>
    <t>Subdirección Administrativa y Financiera - Grupo Administrativo</t>
  </si>
  <si>
    <t>Contratar el arrendamiento de cupos de parqueadero para el parque automotor del Centro Facilitador de Serv icios Migratorios en la Ciudad de Riohacha</t>
  </si>
  <si>
    <t>Arrendamien to de Instalaciones comerciales o Industriales</t>
  </si>
  <si>
    <t xml:space="preserve"> A-02-02-02-007-002</t>
  </si>
  <si>
    <t>Cesar Augusto Mejia Carrillo</t>
  </si>
  <si>
    <t xml:space="preserve">Diana Esperanza Durán Garcia </t>
  </si>
  <si>
    <t>20232121413000004E</t>
  </si>
  <si>
    <t>PCD-005-2023-6P</t>
  </si>
  <si>
    <t>PRESTACIÓN DE SERVICIOS PROFESIONALES CON AUTONOMÍA TÉCNICA Y ADMINISTRATIVA EN LA OFICINA ASESORA DE PLANEACIÓN PARA LA  INVESTIGACIÓN DE LAS CAUSAS Y CONSECUENCIAS SOBRE LOS FENÓMENOS Y DINÁMICA MIGRATORIA.</t>
  </si>
  <si>
    <t>C-1199-1002-11-0-1199054-02</t>
  </si>
  <si>
    <t>CO-010-2023</t>
  </si>
  <si>
    <t>20232121410000002E</t>
  </si>
  <si>
    <t>PCD-006-2023-3P</t>
  </si>
  <si>
    <t>PRESTACIÓN DE SERVICIOS PROFESIONALES CON AUTONOMÍA TÉCNICA Y ADMINISTRATIVA A LA OFICINA ASESORA DE PLANEACIÓN, PARA LA IMPLEMENTACIÓN DE LA POLÍTICA DE GESTIÓN DE LA INFORMACIÓN ESTADÍSTICA DE LA ENTIDAD.</t>
  </si>
  <si>
    <t>CO-012-2023</t>
  </si>
  <si>
    <t>20232121413000005E</t>
  </si>
  <si>
    <t>PCD-013-2023-8P</t>
  </si>
  <si>
    <t>PRESTACIÓN DE SERVICIOS PROFESIONALES CON AUTONOMÍA TÉCNICA Y ADMINISTRATIVA EN LA OFICINA ASESORA DE PLANEACIÓN, PARA LA ATENCIÓN SOCIAL A LA POBLACIÓN MIGRANTE EN EL TERRITORIO NACIONAL.</t>
  </si>
  <si>
    <t>801615;80121704;80101605;93141507;93141503</t>
  </si>
  <si>
    <t>CO-011-2023</t>
  </si>
  <si>
    <t>20232241413000003E</t>
  </si>
  <si>
    <t>PCD-028-2023-3J</t>
  </si>
  <si>
    <t>CO-019-2023</t>
  </si>
  <si>
    <t>20236011413000001E</t>
  </si>
  <si>
    <t>PCD-029-2023-2D</t>
  </si>
  <si>
    <t>PRESTACIÖN DE SERVICIOS PROFESIONALES CON AUTONOMÍA TÉCNICA Y ADMINISTRATIVA PARA APOYAR LA GESTIÓN DE LA DIRECCIÓN GENERAL DE MIGRACIÓN COLOMBIA, DE ACUERDO CON LAS CONDICIONES SEÑALADAS Y ESPECIFICACIONES TÉCNICAS DESCRITAS EN LOS ESTUDIOS PREVIOS.</t>
  </si>
  <si>
    <t>80161504</t>
  </si>
  <si>
    <t>CO-014-2023</t>
  </si>
  <si>
    <t>MARÍA PAULA AVILA GONZALEZ</t>
  </si>
  <si>
    <t>20232241413000001E</t>
  </si>
  <si>
    <t>PCD-030-2023-2J</t>
  </si>
  <si>
    <t>Oficina Asesora Juridica</t>
  </si>
  <si>
    <t>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t>
  </si>
  <si>
    <t>80121704;80161504</t>
  </si>
  <si>
    <t>CO-020-2023</t>
  </si>
  <si>
    <t>MYRIAM BUITRAGO ESPITIA</t>
  </si>
  <si>
    <t>20232121413000003E</t>
  </si>
  <si>
    <t>PCD-031-2023-11P</t>
  </si>
  <si>
    <t>PRESTACIÓN DE SERVICIOS PROFESIONALES CON AUTONOMÍA TÉCNICA Y ADMINISTRATIVA, EN LA OFICINA ASESORA DE PLANEACIÓN PARA EL MONITOREO Y SEGUIMIENTO DOCUMENTAL  DE ACUERDO CON LAS CONDICIONES SEÑALADAS Y ESPECIFICACIONES DESCRITAS EN LOS ESTUDIOS PREVIOS.</t>
  </si>
  <si>
    <t>801615;8012170;80101605;93121600</t>
  </si>
  <si>
    <t>CO-013-2023</t>
  </si>
  <si>
    <t>SANDRA MARCELA CAJAMARCA GUZMAN</t>
  </si>
  <si>
    <t>20232121413000008E</t>
  </si>
  <si>
    <t>PCD-046-2023-5P</t>
  </si>
  <si>
    <t>PRESTACIÓN DE SERVICIOS PROFESIONALES CON AUTONOMÍA TÉCNICA Y ADMINISTRATIVA EN LA OFICINA ASESORA DE PLANEACIÓN PARA LA ELABORACIÓN DE ANÁLISIS, INFORMES Y REPORTES DE REGISTROS ADMINISTRATIVOS.</t>
  </si>
  <si>
    <t>801615;80121704;80101605;81112006;81112007;811315;93121600</t>
  </si>
  <si>
    <t>CO-044-2023</t>
  </si>
  <si>
    <t>CESAR EMILIO TORRES REYES</t>
  </si>
  <si>
    <t>20232121413000007E</t>
  </si>
  <si>
    <t>PCD-048-2023-7P</t>
  </si>
  <si>
    <t>PRESTACIÓN DE SERVICIOS PROFESIONALES CON AUTONOMÍA TÉCNICA Y ADMINISTRATIVA EN LA OFICINA ASESORA DE PLANEACIÓN, EN ASUNTOS JURÍDICOS PARA LA ESTRUCTURACIÓN DE ESTUDIOS EN PRO DEL MEJORAMIENTO EN LA OPERATIVIDAD MISIONAL Y ADMINISTRATIVA DE LA ENTIDAD.</t>
  </si>
  <si>
    <t>801615;801015;80121704;80101605;80121803</t>
  </si>
  <si>
    <t>20232121413000010E</t>
  </si>
  <si>
    <t>PCD-049-2023-9P</t>
  </si>
  <si>
    <t>PRESTACIÓN DE SERVICIOS PROFESIONALES CON AUTONOMÍA TÉCNICA Y ADMINISTRATIVA EN LA OFICINA ASESORA DE PLANEACIÓN, PARA LA ADMINISTRACIÓN, GESTIONAMIENTO, PROCESAMIENTO Y ORGANIZACIÓN DE DATOS PARA EL GEME.</t>
  </si>
  <si>
    <t>20232111413000001E</t>
  </si>
  <si>
    <t>PCD-050-2023-3D</t>
  </si>
  <si>
    <t>PRESTACIÖN DE SERVICIOS PROFESIONALES CON AUTONOMÍA TÉCNICA Y ADMINISTRATIVA PARA EL APOYO EN LA GESTIÓN DE LA DIRECCIÓN GENERAL EN EL SEGUIMIENTO A COMPROMISOS INTERNACIONALES  Y  PROYECTOS DE COOPERACIÓN INTERNACIONAL, DE ACUERDO CON LAS CONDICIONES SEÑALADAS Y ESPECIFICACIONES TÉCNICAS DESCRITAS EN LOS ESTUDIOS PREVIOS.</t>
  </si>
  <si>
    <t>20232121413000009E</t>
  </si>
  <si>
    <t>PCD-051-2023-10P</t>
  </si>
  <si>
    <t>PRESTACIÓN DE SERVICIOS PROFESIONALES CON AUTONOMÍA TÉCNICA Y ADMINISTRATIVA EN LA OFICINA ASESORA DE PLANEACIÓN PARA LA CONSOLIDACIÓN DEL SISTEMA INTEGRADO DE GESTIÓN Y FORTALECIMIENTO DE LA GESTIÓN ORGANIZACIONAL.</t>
  </si>
  <si>
    <t>20236311413000002E</t>
  </si>
  <si>
    <t>PRESTACIÖN DE SERVICIOS DE APOYO A LA GESTIÓN DE LA SUBDIRECCIÓN DE CONTROL DISCIPLINARIO INTERNO, EN LAS LABORES SECRETARIALES, DE ACUERDO CON LAS CONDICIONES SEÑALADAS Y ESPECIFICACIONES TÉCNICAS DESCRITAS EN LOS ESTUDIOS PREVIOS.</t>
  </si>
  <si>
    <t>20236231416000001E</t>
  </si>
  <si>
    <t>PCD-057-2023-6J</t>
  </si>
  <si>
    <t>CONTRATAR LA PUBLICACIÓN EN EL DIARIO OFICIAL DE LOS ACTOS ADMINISTRATIVOS QUE DEMANDE LA UAEMC</t>
  </si>
  <si>
    <t>82121506</t>
  </si>
  <si>
    <t>PCD-058-2023-6D</t>
  </si>
  <si>
    <t>CONTROL INTERNO DISCIPLINARIO</t>
  </si>
  <si>
    <t>Belisa Amparo Oviedo Diaz</t>
  </si>
  <si>
    <t>O341</t>
  </si>
  <si>
    <t>MES2</t>
  </si>
  <si>
    <t>FECHA DE TERMINACION DEL CONTRATO3</t>
  </si>
  <si>
    <t xml:space="preserve">Cuenta de CONSECUTIVO PAABS EXCEL Y ESTUDIOS PREVIOS </t>
  </si>
  <si>
    <t>Etiquetas de fila</t>
  </si>
  <si>
    <t>Total general</t>
  </si>
  <si>
    <t>Etiquetas de columna</t>
  </si>
  <si>
    <t>(Todas)</t>
  </si>
  <si>
    <t>PROFESIONAL ENCARGADO</t>
  </si>
  <si>
    <t>WILLIAM ANDRES TELLEZ CHAVEZ</t>
  </si>
  <si>
    <t>SERGIO ALEJANDRO ROMERO SARMIENTO</t>
  </si>
  <si>
    <t>SONIA YANETH AREVALO BONILLA</t>
  </si>
  <si>
    <t>JAVIER ENRIQUE GONZÁLEZ GONZÁLEZ</t>
  </si>
  <si>
    <t>NESTOR DAVID MEDINA HERRERA</t>
  </si>
  <si>
    <t>JOAQUÍN ANTONIO RODRÍGUEZ VILLEGAS</t>
  </si>
  <si>
    <t>JORGE ALBERTO TIBADUIZA RINCON</t>
  </si>
  <si>
    <t>VERONICA BEATRIZ BORGES CELIN</t>
  </si>
  <si>
    <t>JAIME FERNANDO CANTILLO MONROY</t>
  </si>
  <si>
    <t>ADRIAN AUGUSTO FERNANDEZ ANZOLA</t>
  </si>
  <si>
    <t>RODRIGO ANDRES GARCIA</t>
  </si>
  <si>
    <t>MÓNICA VICTORIA MANCERA CARRERO</t>
  </si>
  <si>
    <t>DEISSY YOHANA NEITA NUVAN</t>
  </si>
  <si>
    <t>MARÍA EUGENIA RESTREPO LONDOÑO</t>
  </si>
  <si>
    <t>ANDRES ALEJANDRO ORJUELA TRUJILLO</t>
  </si>
  <si>
    <t>DEICY YOHANA PARADA PARDO</t>
  </si>
  <si>
    <t>ADRIANA CAROLINA MAESTRE SOLANO</t>
  </si>
  <si>
    <t xml:space="preserve">ADRIANA MARCELA ROSAS SUAREZ </t>
  </si>
  <si>
    <t>MARITZA ROCÍO SERRANO VILLAMIL</t>
  </si>
  <si>
    <t>ROSA MARÍA MARTÍNEZ GONZÁLEZ</t>
  </si>
  <si>
    <t>OSCAR ANDRES VALDERRAMA CANO</t>
  </si>
  <si>
    <t>CO-003-2023</t>
  </si>
  <si>
    <t>CO-004-2023</t>
  </si>
  <si>
    <t>CO-015-2023</t>
  </si>
  <si>
    <t>CO-017-2023</t>
  </si>
  <si>
    <t>CO-030-2023</t>
  </si>
  <si>
    <t>CO-037-2023</t>
  </si>
  <si>
    <t>CO-047-2023</t>
  </si>
  <si>
    <t>CO-054-2023</t>
  </si>
  <si>
    <t xml:space="preserve">En tramite </t>
  </si>
  <si>
    <t>EDAD</t>
  </si>
  <si>
    <t>FECHA DE NACIMIENTO</t>
  </si>
  <si>
    <t>MYPIME</t>
  </si>
  <si>
    <t>ADICION 3</t>
  </si>
  <si>
    <t>FECHA FIRMA</t>
  </si>
  <si>
    <t>FECHA FIRMA DEL DOCUMENTO2</t>
  </si>
  <si>
    <t>FECHA DE TERMINACION DEL CONTRATO2</t>
  </si>
  <si>
    <t>FECHA FIRMA DEL DOCUMENTOS</t>
  </si>
  <si>
    <t>ENTIDAD</t>
  </si>
  <si>
    <t>NIT</t>
  </si>
  <si>
    <t>UNIDAD ADMINISTRATIVA ESPECIAL MIGRACIÓN COLOMBIA</t>
  </si>
  <si>
    <t>900477235-6</t>
  </si>
  <si>
    <t>CLASIFICACION</t>
  </si>
  <si>
    <t xml:space="preserve">
LUGAR DE EJECUCION
</t>
  </si>
  <si>
    <t>TIPO DE ORGANIZACIÓN</t>
  </si>
  <si>
    <t>Macro</t>
  </si>
  <si>
    <t>Pequeña</t>
  </si>
  <si>
    <t xml:space="preserve">Mediana </t>
  </si>
  <si>
    <t>No es mypime</t>
  </si>
  <si>
    <t>Tipo de Organización</t>
  </si>
  <si>
    <t>Campesinas</t>
  </si>
  <si>
    <t>Clasificación</t>
  </si>
  <si>
    <t>Victimas de conflicto</t>
  </si>
  <si>
    <t>Emprendimiento y empresas de mujeres</t>
  </si>
  <si>
    <t>Étnicas</t>
  </si>
  <si>
    <t>Reincorporados</t>
  </si>
  <si>
    <t>Acción comunal</t>
  </si>
  <si>
    <t>Mypime</t>
  </si>
  <si>
    <t>Si</t>
  </si>
  <si>
    <t>No</t>
  </si>
  <si>
    <t>Plataforma</t>
  </si>
  <si>
    <t>Secop I</t>
  </si>
  <si>
    <t>TVEC</t>
  </si>
  <si>
    <t>Profesional Encargado</t>
  </si>
  <si>
    <t>Prestacion de servicios apoyo a la gestion</t>
  </si>
  <si>
    <t>Area de la Necesidad</t>
  </si>
  <si>
    <t>PCD-042-2023-4D</t>
  </si>
  <si>
    <t>PROFESIÓN</t>
  </si>
  <si>
    <t>20236231415000002E</t>
  </si>
  <si>
    <t>PCD-079-2023-30TEC</t>
  </si>
  <si>
    <t xml:space="preserve">Componentes y Equipos para Distribución y Sistemas de Acondicionamiento </t>
  </si>
  <si>
    <t>20236231408000001E</t>
  </si>
  <si>
    <t>SIE-001-2023</t>
  </si>
  <si>
    <t>Selección Abreviada</t>
  </si>
  <si>
    <t>Subasta Inversa Electrónica</t>
  </si>
  <si>
    <t>CONTRATAR EL SERVICIO DE SOPORTE ESPECIALIZADO EN BASES DE DATOS, SISTEMAS OPERATIVOS E INFRAESTRUCTURA TECNOLÓGICA DE LA PLATAFORMA MISIONAL DE MIGRACIÓN COLOMBIA.</t>
  </si>
  <si>
    <t>Difusión de tecnologías de información y telecomunicaciones</t>
  </si>
  <si>
    <t>20236231408000006E</t>
  </si>
  <si>
    <t>SIE-002-2023</t>
  </si>
  <si>
    <t>Contratar la prestación del servicio de mantenimiento preventivo y correctivo de aires acondicionados a nivel nacional</t>
  </si>
  <si>
    <t>Componentes y equipos para distribución y sistemas de acondicionamiento</t>
  </si>
  <si>
    <t>A-02-02-02-008-007</t>
  </si>
  <si>
    <t>20236231412000001E</t>
  </si>
  <si>
    <t>LP-001-2023</t>
  </si>
  <si>
    <t>Licitación Pública</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</si>
  <si>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</si>
  <si>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Servicios Financieros y de Seguros</t>
  </si>
  <si>
    <t>19023    - VF 1323</t>
  </si>
  <si>
    <t>A-02-02-02-007-001</t>
  </si>
  <si>
    <t>Acuerdo Marco de Precios</t>
  </si>
  <si>
    <t>Suscripción y horas de servicio de productos GOOGLE para la entidad.</t>
  </si>
  <si>
    <t>20232261415000001E</t>
  </si>
  <si>
    <t>PCD-074-2023-9J</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</si>
  <si>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</si>
  <si>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55111515;82121802</t>
  </si>
  <si>
    <t>Audio cinta de material educacional - Servicios de publicaciones financiadas por el autor</t>
  </si>
  <si>
    <t>A-02-02-02-008-004</t>
  </si>
  <si>
    <t>En trámite</t>
  </si>
  <si>
    <t>N/A</t>
  </si>
  <si>
    <t>20236231415000007E</t>
  </si>
  <si>
    <t>PCD-081-2023-9COM</t>
  </si>
  <si>
    <t>CONTRATAR LA PUBLICACIÓN DE DIFERENTES AVISOS DE PRENSA EN EL PERIÓDICO LA REPÚBLICA, DE ACUERDO A LAS NECESIDADES REQUERIDAS POR LA ENTIDAD.</t>
  </si>
  <si>
    <t>Impresión de publicaciones</t>
  </si>
  <si>
    <t>20232541413000001E</t>
  </si>
  <si>
    <t>PCD-082-2023-18TEC</t>
  </si>
  <si>
    <t>CONTRATAR EL MANTENIMIENTO E IMPLEMENTACIÓN DE MEJORAS SEGÚN NECESIDADES MISIONALES DE MIGRACIÓN COLOMBIA PARA LA APLICACIÓN LIBERTAPP</t>
  </si>
  <si>
    <t>43232612;81112209.</t>
  </si>
  <si>
    <t xml:space="preserve"> Software de fabricación asistida por computador cam - Mantenimiento de software de desarrollo</t>
  </si>
  <si>
    <t>20236231415000009E</t>
  </si>
  <si>
    <t>PCD-069-2023-20TEC</t>
  </si>
  <si>
    <t>EXTENSIÓN DE GARANTÍA PARA LAS LECTORAS DE DOCUMENTOS Y ACTUALIZACIÓN DEL SOFTWARE DE VALIDACIÓN DE DOCUMENTOS.</t>
  </si>
  <si>
    <t>43211700;81112200</t>
  </si>
  <si>
    <t>Dispositivos informáticos de entrada de datos - Mantenimiento y soporte de software</t>
  </si>
  <si>
    <t>20236231407000001E</t>
  </si>
  <si>
    <t>MC-005-2023-29TEC</t>
  </si>
  <si>
    <t>Mínima cuantía</t>
  </si>
  <si>
    <t xml:space="preserve">SERVICIO DE MANTENIMIENTO PREVENTIVO Y CORRECTIVO CON SUMINISTRO DE REPUESTOS Y BATERÍAS, DE LAS UPS MARCAS POWERSUN, TRIPP LITE Y SAT. </t>
  </si>
  <si>
    <t>Mantenimiento o soporte de equipo de telecomunicaciones</t>
  </si>
  <si>
    <t>20236231407000002E</t>
  </si>
  <si>
    <t>MC-004-2023-80SYF</t>
  </si>
  <si>
    <t>SERVICIO DE LIMPIEZA, MANTENIMIENTO Y VACIADO DE POZOS Y TANQUES DE ALMACENAMIENTO DE AGUAS RESIDUALES A NIVEL NACIONAL</t>
  </si>
  <si>
    <t>Bombas de agua</t>
  </si>
  <si>
    <t>20236231420000001E</t>
  </si>
  <si>
    <t>MC-002-2023-81SYF</t>
  </si>
  <si>
    <t>CONTRATAR LA PRESTACIÓN DEL SERVICIO DE LAVADO DEL PARQUE AUTOMOTOR DE MIGRACIÓN COLOMBIA EN LA CIUDAD DE BOGOTÁ D.C.</t>
  </si>
  <si>
    <t>Limpieza de carros o barcos</t>
  </si>
  <si>
    <t>20236221413000004E</t>
  </si>
  <si>
    <t>PCD-067-2023-83SYF</t>
  </si>
  <si>
    <t>PRESTACIÓN DE SERVICIOS PROFESIONALES PARA APOYAR A MIGRACIÓN COLOMBIA EN EL DESARROLLO, OPTIMIZACIÓN Y MANTENIMIENTO DE FUNCIONALIDADES DEL SISTEMA DE GESTIÓN DOCUMENTAL ORFEO</t>
  </si>
  <si>
    <t>CO-062-2023</t>
  </si>
  <si>
    <t>LILIANA GÓMEZ VELASQUEZ</t>
  </si>
  <si>
    <t>INGENIERIA DE SISTEMAS</t>
  </si>
  <si>
    <t>NO</t>
  </si>
  <si>
    <t>20236211413000005E</t>
  </si>
  <si>
    <t>PCD-063-2023-88SYF</t>
  </si>
  <si>
    <t>PRESTAR LOS SERVICIOS PROFESIONALES DE ARQUITECTURA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2023, ASÍ COMO LA SUPERVISIÓN TÉCNICA DE LOS CONTRATOS DONDE SEA ASIGNADO DE ACUERDO CON LAS CONDICIONES SEÑALADAS Y ESPECIFICACIONES TÉCNICAS DESCRITAS EN LOS DOCUMENTOS, ESTUDIOS PREVIOS Y EL CONTRATO.</t>
  </si>
  <si>
    <t>CO-059-2023</t>
  </si>
  <si>
    <t>EDUARDO ALFONSO ARANGUREN</t>
  </si>
  <si>
    <t>ARQUITECTURA</t>
  </si>
  <si>
    <t>JESUS ANDRES PORRAS GARCIA</t>
  </si>
  <si>
    <t>20236211415000001E</t>
  </si>
  <si>
    <t>PCD-073-2023-92SYF</t>
  </si>
  <si>
    <t>PRESTAR LOS SERVICIOS PROFESIONALES DE UN INGENIERO ELECTRICISTA CON AUTONOMÍA TÉCNICA Y ADMINISTRATIVA PARA APOYAR LA GESTIÓN DE LA COORDINACIÓN ADMINISTRATIVA DE MIGRACIÓN COLOMBIA, EN LO REFERENTE A LA ESTRUCTURACIÓN Y DEFINICIÓN DE FICHAS TÉCNICAS Y ESTUDIOS DE MERCADO PARA LOS DIFERENTES PROYECTOS DE INFRAESTRUCTURA PROGRAMADOS EN 2023, ASÍ COMO LA SUPERVISIÓN TÉCNICA DE LOS CONTRATOS DONDE SEA ASIGNADO DE ACUERDO CON LAS CONDICIONES SEÑALADAS Y ESPECIFICACIONES TÉCNICAS DESCRITAS EN LOS DOCUMENTOS, ESTUDIOS PREVIOS Y EL CONTRATO.</t>
  </si>
  <si>
    <t>CO-066-2023</t>
  </si>
  <si>
    <t>JAIME LUIS PEÑA TORRES</t>
  </si>
  <si>
    <t>INGENIERIA ELECTRICA</t>
  </si>
  <si>
    <t>20236231415000010E</t>
  </si>
  <si>
    <t>PCD-086-202-54TEC</t>
  </si>
  <si>
    <t>CONTRATAR LA EXTENSIÓN DE GARANTÍA INCLUIDO MANTENIMIENTOS PREVENTIVOS Y CORRECTIVOS CON REPUESTOS, PARA LA SOLUCIÓN DE PASILLOS MIGRATORIOS BIOMIG.</t>
  </si>
  <si>
    <t>Puertas automáticas</t>
  </si>
  <si>
    <t>20236231407000005E</t>
  </si>
  <si>
    <t>MC-001-2023-8CM</t>
  </si>
  <si>
    <t xml:space="preserve">SERVICIO DE MANTENIMIENTO PREVENTIVO Y CORRECTIVO PARA LOS EQUIPOS DE GRAFOLOGÍA ESTÉREO MICROSCOPIOS A NIVEL NACIONAL, CON BOLSA DE REPUESTOS                                                                                                                              </t>
  </si>
  <si>
    <t>46151708;46151712;72151704;81101706;81101713</t>
  </si>
  <si>
    <t>Magnificadores para uso forense - Servicio de instalación y mantenimiento de sistemas instrumentados de seguridad - Mantenimiento de equipos de laboratorio - Estaciones de trabajo químico para uso forense - Servicio técnico y de diseño de instrumentos de medición y de registro electrónicos</t>
  </si>
  <si>
    <t>20236231413000002E</t>
  </si>
  <si>
    <t>PCD-080-2023-2E</t>
  </si>
  <si>
    <t>CONTRATAR LA PRESTACIÓN DE SERVICIOS PROFESIONALES ESPECIALIZADOS PARA LA VALIDACIÓN O AUTENTICACIÓN DE IDENTIDAD, RELACIONADA CON USUARIOS QUE REQUIEREN CERTIFICADOS DE MOVIMIENTOS MIGRATORIOS.</t>
  </si>
  <si>
    <t>43232300;81111800;81112000;81112200</t>
  </si>
  <si>
    <t>Software de consultas y gestión de datos - Servicios de sistemas y administración de componentes de sistemas - Servicios de datos - Mantenimiento y soporte de software</t>
  </si>
  <si>
    <t>20234021413000003E</t>
  </si>
  <si>
    <t>PCD-064-2023-5E</t>
  </si>
  <si>
    <t>43232300;81111800;81112000;81112200;</t>
  </si>
  <si>
    <t>CO-067-2023</t>
  </si>
  <si>
    <t>LEONOR PATRICIA JIMENEZ SANTANA</t>
  </si>
  <si>
    <t>20232501413000013E</t>
  </si>
  <si>
    <t>PCD-062-2023-TEC</t>
  </si>
  <si>
    <t>CONTRATAR LA PRESTACIÓN DE LOS SERVICIOS DE APOYO A LA GESTIÓN EN LA OFICINA DE TECNOLOGÍA DE LA INFORMACIÓN, DE ACUERDO CON LAS CONDICIONES Y ESPECIFICACIONES TÉCNICAS DESCRITAS EN LOS ESTUDIOS PREVIOS</t>
  </si>
  <si>
    <t>81111803;81102701;81111820;81111809</t>
  </si>
  <si>
    <t>Mantenimiento o soporte de redes de área local (lan) - Servicio de ingeniería para sistemas de control y monitoreo de incendios y gas - Servicios de funcionalidad del sistema - Servicio de instalación de sistemas</t>
  </si>
  <si>
    <t>CO-058-2023</t>
  </si>
  <si>
    <t>NÉSTOR HERNANDO MONTENEGRO GÓMEZ</t>
  </si>
  <si>
    <t>BACHILLER ACADÉMICO</t>
  </si>
  <si>
    <t>20236231408000003E</t>
  </si>
  <si>
    <t>SAMC-001-2023-SYF</t>
  </si>
  <si>
    <t>CONTRATAR A TODO COSTO, INCLUYENDO MATERIALES Y MANO DE OBRA, LA IMPLEMENTACIÓN DE POLOS APÍCOLAS Y OBRAS COMPLEMENTARIAS EN CUMPLIMIENTO DE LAS MEDIDAS DE COMPENSACIÓN IMPUESTAS POR CORPORINOQUIA POR LA AUTORIZACIÓN DE PERMISOS DE CONCESIÓN Y VERTIMIENTOS.</t>
  </si>
  <si>
    <t>21102401;70111501;70121610;70161701;77101604;77101700;77111501</t>
  </si>
  <si>
    <t>Equipo para apicultura - Servicios de siembra de árboles, arbustos o plantas ornamentales - Apicultura - Servicios de ecodesarrollo - Servicios de planificación de la estrategia de gestión o conservación de recursos naturales - Servicios de asesoría ambiental - Servicios de protección del paisaje</t>
  </si>
  <si>
    <t>C-1103-1002-2-0-1103001-02</t>
  </si>
  <si>
    <t>20236231415000011E</t>
  </si>
  <si>
    <t>PCD-089-2023</t>
  </si>
  <si>
    <t>Servicios de mantenimiento y reparación de equipo de manufactura</t>
  </si>
  <si>
    <t>20232501410000001E</t>
  </si>
  <si>
    <t>COMUNICACIÓN SOCIAL</t>
  </si>
  <si>
    <t>ECONOMIA</t>
  </si>
  <si>
    <t>INGENIERIA INDUSTRIAL</t>
  </si>
  <si>
    <t>DERECHO</t>
  </si>
  <si>
    <t>CONTADURIA PÚBLICA</t>
  </si>
  <si>
    <t>ESTADISTICA</t>
  </si>
  <si>
    <t>20236231416000003E</t>
  </si>
  <si>
    <t>PCD-068-2023-15TH</t>
  </si>
  <si>
    <t xml:space="preserve">SUBDIRECCION  TALENTO HUMANO </t>
  </si>
  <si>
    <t>CONTRATAR LA PRESTACIÓN DEL SERVICIO DE ALOJAMIENTO, ALIMENTACIÓN Y APOYO LOGÍSTICO PARA ACTIVIDADES DE CAPACITACIÓN A NIVEL NACIONAL</t>
  </si>
  <si>
    <t>80131504</t>
  </si>
  <si>
    <t>Servicio de alojamiento temporal offshore</t>
  </si>
  <si>
    <t>CO-083-2023</t>
  </si>
  <si>
    <t>INTERADMINISTRATIVO</t>
  </si>
  <si>
    <t>SOCIEDAD HOTELERA TEQUENDAMA S.A.</t>
  </si>
  <si>
    <t> 860006543</t>
  </si>
  <si>
    <t xml:space="preserve">ROSA MARIA MARTINEZ </t>
  </si>
  <si>
    <t>20236301413000001E</t>
  </si>
  <si>
    <t>PCD-071-2023-5D</t>
  </si>
  <si>
    <t>SUBDIRECCIÃN DE CONTROL DISCIPLINARIO INTERNO</t>
  </si>
  <si>
    <t>PRESTAR LOS SERVICIOS PROFESIONALES PARA APOYAR LA GESTIÓN DE LA SUBDIRECCIÓN DE CONTROL DISCIPLINARIO INTERNO, EN LOS TEMAS JURÍDICOS DISCIPLINARIOS Y LAS LABORES ADMINISTRATIVAS QUE SE LE ASIGNEN, DE ACUERDO CON LAS CONDICIONES SEÑALADAS Y ESPECIFICACIONES TÉCNICAS DESCRITAS EN LOS ESTUDIOS PREVIOS.</t>
  </si>
  <si>
    <t> Necesidades de dotación de personal jurídico temporal</t>
  </si>
  <si>
    <t>CO-065-2023</t>
  </si>
  <si>
    <t>YULENY FERNANDA FARFÁN LÓPEZ</t>
  </si>
  <si>
    <t>Derecho</t>
  </si>
  <si>
    <t xml:space="preserve">MARTHA EUGENIA RAMOS </t>
  </si>
  <si>
    <t>20232121413000011E</t>
  </si>
  <si>
    <t>PCD-083-2023-4D</t>
  </si>
  <si>
    <t>PRESTACIÓN DE SERVICIOS PROFESIONALES CON AUTONOMÍA TÉCNICA Y ADMINISTRATIVA A LA OFICINA ASESORA DE PLANEACIÓN EN ASUNTOS DE EXTRACCIÓN Y CONSOLIDACIÓN DE INFORMACIÓN CUANTITATIVA Y CUALITATIVA.</t>
  </si>
  <si>
    <t> Servicios de apoyo gerencial</t>
  </si>
  <si>
    <t>MARZO</t>
  </si>
  <si>
    <t>BENKOS TRIANA OCAMPO</t>
  </si>
  <si>
    <t xml:space="preserve">ECONOMISTA </t>
  </si>
  <si>
    <t>20236231414000005E</t>
  </si>
  <si>
    <t>PCD-084-2023-36SYF</t>
  </si>
  <si>
    <t>Contratar el arrendamiento de un área dentro del predio ubicado en la calle 22 n # 8n - 47 de la ciudad de Cúcuta para el funcionamiento del Centro Facilitador de Servicios Migratorios de la UAEMC</t>
  </si>
  <si>
    <t>Arrendamiento de instalaciones comerciales o industriales</t>
  </si>
  <si>
    <t>CO-082-2023</t>
  </si>
  <si>
    <t>CEDAC CUCUTA LTDA</t>
  </si>
  <si>
    <t>44223 </t>
  </si>
  <si>
    <t xml:space="preserve">Sergio Andres Blanco </t>
  </si>
  <si>
    <t>20236231407000008E</t>
  </si>
  <si>
    <t>MC-003-2023</t>
  </si>
  <si>
    <t>CONTRATAR EL SERVICIO INTEGRAL DE ASEO Y CAFETERIA REGION 9: SEDE 1: CFSM CÚCUTA, SEDE 2: CFSM BUCARAMANGA, SEDE 3: CENAF TIENDITAS, SEDE 4: CENAF VILLA DEL ROSARIO.</t>
  </si>
  <si>
    <t>76111501 - 90101700</t>
  </si>
  <si>
    <t>Servicios de limpieza de edificios</t>
  </si>
  <si>
    <t>A-02-02-02-006-003 -A-02-02-02-008-005</t>
  </si>
  <si>
    <t>900477235-7</t>
  </si>
  <si>
    <t>20236231410000001E</t>
  </si>
  <si>
    <t>minima cuantia-grandes superficies</t>
  </si>
  <si>
    <t>subdireccion de talento humano</t>
  </si>
  <si>
    <t>CONTRATAR LA ADQUISICIÓN DE ELEMENTOS DE PROTECCIÓN PERSONAL E INDIVIDUAL (ELEMENTOS DE PROTECCIÓN FONDEO (CHALECOS SALVAVIDAS, MOSQUETONES, CORDINO, GUANTES DE BAQUETA, BOTAS)) PARA LOS FUNCIONARIOS QUE REALIZAN OTRAS ACTIVIDADES MISIONALES, TENIENDO EN CUENTA LO CONTEMPLADO POR SALUD OCUPACIONAL</t>
  </si>
  <si>
    <t>24141608 ,73141710 , 46181503</t>
  </si>
  <si>
    <t xml:space="preserve">Maquinaria, accesorios y  Suministros para manejo Acondicionamiento y almacenamiento de materiales ,Suministro de embalaje Rosales vivos rojos o burgundy Protecciones externas -Servicios de producción industrial y manufactura - Equipos y Suministros de Defensa orden publico Protección, Vigilancia y seguridad </t>
  </si>
  <si>
    <t>A-02-02-01-002-008</t>
  </si>
  <si>
    <t>OC-105105</t>
  </si>
  <si>
    <t>minima cuantia grandes superficies</t>
  </si>
  <si>
    <t>CENCOSUD COLOMBIA S.A.</t>
  </si>
  <si>
    <t>Rubi Villarraga</t>
  </si>
  <si>
    <t>900477235-8</t>
  </si>
  <si>
    <t>20236301413000002E</t>
  </si>
  <si>
    <t>PCD-072-2023-D</t>
  </si>
  <si>
    <t>PRESTAR LOS SERVICIOS PROFESIONALES ESPECIALIZADOS PARA APOYAR A LA ENTIDAD EN LA FUNDAMENTACIÓN JURÍDICA EN LOS PROYECTOS PARA LA OPTIMIZACIÓN DE LOS SERVICIOS Y PROCESOS MIGRATORIOS A CARGO DE LA OFICINA DE TECNOLOGÍA DE LA INFORMACIÓN, Y EN LOS DEMÁS TEMAS QUE LE ASIGNE LA DIRECCIÓN GENERAL DE MIGRACIÓN COLOMBIA, DE ACUERDO CON LAS CONDICIONES SEÑALADAS Y ESPECIFICACIONES TÉCNICAS DESCRITAS EN LOS ESTUDIOS PREVIOS</t>
  </si>
  <si>
    <t xml:space="preserve">Servicios de gestión, Serviciosprofesionales de empresa, y Servicios administrativos ,Servicios de recursos humanos </t>
  </si>
  <si>
    <t>CO-064-2023</t>
  </si>
  <si>
    <t>CAMILO ANDRÉS GARCÍA GIL</t>
  </si>
  <si>
    <t>AVILA GONZALEZ MARIA PAULA</t>
  </si>
  <si>
    <t>900477235-9</t>
  </si>
  <si>
    <t>20232501413000022E</t>
  </si>
  <si>
    <t>PCD-076-2023-16TEC</t>
  </si>
  <si>
    <t>CONTRATAR LA PRESTACIÓN DE LOS SERVICIOS PROFESIONALES PARA APOYAR LA GESTIÓN DE LA OFICINA DE TECNOLOGÍA DE LA INFORMACIÓN DE MIGRACIÓN COLOMBIA, EN LAS ACTIVIDADES RELACIONADAS CON LA ADMINISTRACIÓN DE SISTEMAS OPERATIVOS LINUX, VIRTUALIZACION Y BASE DE DATOS</t>
  </si>
  <si>
    <t>80111600 - 81111500 - 81111800</t>
  </si>
  <si>
    <t xml:space="preserve">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t>
  </si>
  <si>
    <t>CO-068-2023</t>
  </si>
  <si>
    <t>DARÍO ORLANDO BECERRA ERAZO</t>
  </si>
  <si>
    <t>3 CUMPLIMIENTO</t>
  </si>
  <si>
    <t>900477235-10</t>
  </si>
  <si>
    <t>20232501413000018E</t>
  </si>
  <si>
    <t>PCD-066-2023-24TEC</t>
  </si>
  <si>
    <t>Contratar la prestación de servicios profesionales para realizar actividades en mantenimiento, réplicas en bases de datos y apoyo al desarrollo de software de Migración Colombia</t>
  </si>
  <si>
    <t>811115-811116-811122</t>
  </si>
  <si>
    <t>Servicios Basados en Ingeniería, Investigación Y Tecnología ,Servicios informaticos Ingeniería de software o hardware -Programadores de computador - Mantenimiento y soporte de software</t>
  </si>
  <si>
    <t>CO-061-2023</t>
  </si>
  <si>
    <t>CRISTIAN ANDREY SALINAS FORERO</t>
  </si>
  <si>
    <t>4 CUMPLIMIENTO</t>
  </si>
  <si>
    <t>900477235-11</t>
  </si>
  <si>
    <t>20232501413000017E</t>
  </si>
  <si>
    <t>PCD-075-2023-22TEC</t>
  </si>
  <si>
    <t>CONTRATAR LA PRESTACIÓN DE LOS SERVICIOS PROFESIONALES PARA EL SOPORTE AL SITIO WEB DE LA UNIDAD ADMINISTRATIVA ESPECIAL MIGRACIÓN COLOMBIA DE CONFORMIDAD CON LAS ESPECIFICACIONES TÉCNICAS</t>
  </si>
  <si>
    <t>80111614 - 81111500 - 81111800</t>
  </si>
  <si>
    <t xml:space="preserve">Servicios de Gestión, Servicios Profesionales de  Empresa y Servicios Administrativos . Servicios de recursos humanos .servicios  de personal temporal ,servicios Temporales de de ingenieria - Servicios basados en Ingeniería Investigación y Tecnología, Servicios Informáticos , Ingeniería de Software o Hardware - Servicios de sistemas y administracion de componentes de sistemas </t>
  </si>
  <si>
    <t>CO-071-2023</t>
  </si>
  <si>
    <t>JONNATHAN DAVID TRIANA BOTIA</t>
  </si>
  <si>
    <t>5 CUMPLIMIENTO</t>
  </si>
  <si>
    <t>900477235-12</t>
  </si>
  <si>
    <t>20232501413000019E</t>
  </si>
  <si>
    <t>PCD-065-2023-14TEC</t>
  </si>
  <si>
    <t>CONTRATAR LA PRESTACIÓN DE LOS SERVICIOS PROFESIONALES PARA APOYAR LA GESTIÓN DE LA OFICINA DE TECNOLOGÍA DE LA INFORMACIÓN, EN LAS ACTIVIDADES RELACIONADAS CON LA IMPLEMENTACIÓN Y OPTIMIZACIÓN DE LA INFRAESTRUCTURA FÍSICA Y TECNOLÓGICA PARA CENTROS DE CÓMPUTO (ON-PREMISE Y EN LA NUBE) Y EN EL DISEÑO E IMPLEMENTACIÓN DE SOLUCIONES A NIVEL DE TODOS SUS SUBSISTEMAS</t>
  </si>
  <si>
    <t>811115-811118-811123-801116</t>
  </si>
  <si>
    <t>CO-060-2023</t>
  </si>
  <si>
    <t>GUSTAVO ADOLFO ECHANDÍA BAUTISTA</t>
  </si>
  <si>
    <t>6 CUMPLIMIENTO</t>
  </si>
  <si>
    <t>900477235-13</t>
  </si>
  <si>
    <t>20232501413000023E</t>
  </si>
  <si>
    <t>PCD-078-2023-25TEC</t>
  </si>
  <si>
    <t>CONTRATAR LA PRESTACIÓN DE LOS SERVICIOS PROFESIONALES PARA APOYAR LA GESTIÓN DE LA OFICINA DE TECNOLOGÍA DE LA INFORMACIÓN DE MIGRACIÓN COLOMBIA, EN LAS ACTIVIDADES PROPIAS DEL DESARROLLO DE APLICACIONES EN LENGUAJE .NET</t>
  </si>
  <si>
    <t>80111600-811115-811120</t>
  </si>
  <si>
    <t>Servicios de Gestión Servicios Profesional es de Empresa y Servicios Administrativos ,Servicios de recursos humanos ,Servicios de personal temporal - Servicios informaticos Ingeniería de software o hardware - Servicios de datos</t>
  </si>
  <si>
    <t>CO-072-2023</t>
  </si>
  <si>
    <t>DIEGO ESTEBAN PAREDES BURBANO</t>
  </si>
  <si>
    <t>7 CUMPLIMIENTO</t>
  </si>
  <si>
    <t>900477235-14</t>
  </si>
  <si>
    <t>20232501413000021E</t>
  </si>
  <si>
    <t>PCD-070-2023-15TEC</t>
  </si>
  <si>
    <t>CONTRATAR LA PRESTACIÓN DE SERVICIOS PROFESIONALES PARA REALIZAR LA OPTIMIZACIÓN DE LA BASE DE DATOS DEL DATA CENTER DE MIGRACIÓN COLOMBIA</t>
  </si>
  <si>
    <t>Servicios Basados en Ingeniería, Investigación Y Tecnología ,Servicios informaticos Ingeniería de software o hardware</t>
  </si>
  <si>
    <t>CO-063-2023</t>
  </si>
  <si>
    <t>DANIEL ENRIQUE BERNAL CONTRERAS</t>
  </si>
  <si>
    <t>8 CUMPLIMIENTO</t>
  </si>
  <si>
    <t>900477235-15</t>
  </si>
  <si>
    <t>20232501413000020E</t>
  </si>
  <si>
    <t>PCD-077-2023-23TEC</t>
  </si>
  <si>
    <t>CONTRATAR LA PRESTACIÓN DE SERVICIOS PROFESIONALES PARA REALIZAR LA ADMINISTRACIÓN DE BASES DE DATOS DE MIGRACIÓN COLOMBIA</t>
  </si>
  <si>
    <t>CO-069-2023</t>
  </si>
  <si>
    <t>LUIS ALEXANDER JIMENEZ ALVARADO</t>
  </si>
  <si>
    <t>9 CUMPLIMIENTO</t>
  </si>
  <si>
    <t>20236231408000008E</t>
  </si>
  <si>
    <t>SAMC-002-2023</t>
  </si>
  <si>
    <t>Menor Cuantia</t>
  </si>
  <si>
    <t>Subdireccion de Talento Humano</t>
  </si>
  <si>
    <t>CONTRATAR UNA INSTITUCIÓN PRESTADORA DE SERVICIO DE SALUD ESPECIALIZADA EN LA REALIZACIÓN DE EXÁMENES MÉDICOS OCUPACIONALES DE INGRESO, EGRESO, PERIÓDICOS Y POST-INCAPACIDAD Y DE REQUERIRSE ANÁLISIS DE PUESTO DE TRABAJO.</t>
  </si>
  <si>
    <t>80161500;801015;80121704;80101605;93141509;93141510</t>
  </si>
  <si>
    <t>Servicios de apoyo gerencial</t>
  </si>
  <si>
    <t>Sociología</t>
  </si>
  <si>
    <t>80161500;80121704;80101605;81112006;81112007;811315</t>
  </si>
  <si>
    <t>Matemático con énfasis en Estadística</t>
  </si>
  <si>
    <t>Trabajadora Social</t>
  </si>
  <si>
    <t> Ingeniería civil y arquitectura</t>
  </si>
  <si>
    <t>GOBIERNO Y RELACIONES INTERNACIONALES</t>
  </si>
  <si>
    <t>Servicios legales sobre contratos</t>
  </si>
  <si>
    <t>Relaciones Internacionales y Estudios Políticos</t>
  </si>
  <si>
    <t>CO-049-2023</t>
  </si>
  <si>
    <t>FEBRERO</t>
  </si>
  <si>
    <t>GLADYS GUTIERREZ UPEGUI</t>
  </si>
  <si>
    <t> 38249742</t>
  </si>
  <si>
    <t>Ingeniería de Sistemas</t>
  </si>
  <si>
    <t>80161500;80121704;80101605;81112006;81112007;81102702</t>
  </si>
  <si>
    <t>CO-057-2023</t>
  </si>
  <si>
    <t>MARIA LUISA ORTIZ</t>
  </si>
  <si>
    <t>CO-053-2023</t>
  </si>
  <si>
    <t>MARÍA FERNANDA OSPINA CARO</t>
  </si>
  <si>
    <t xml:space="preserve">PROFESIONAL EN RELACIONES INTERNACIONALES </t>
  </si>
  <si>
    <t>Vanessa Ortiz López</t>
  </si>
  <si>
    <t>CO-056-2023</t>
  </si>
  <si>
    <t>MARIA ALEJANDRA GRACIA MONTERO</t>
  </si>
  <si>
    <t xml:space="preserve">INGENIERA DE SISTEMAS </t>
  </si>
  <si>
    <t> Impresión de publicaciones</t>
  </si>
  <si>
    <t>CO-070-2023</t>
  </si>
  <si>
    <t>IMPRENTA NACIONAL DE COLOMBIA</t>
  </si>
  <si>
    <t>830.001.113</t>
  </si>
  <si>
    <t>CO-052-2023</t>
  </si>
  <si>
    <t xml:space="preserve">Prestación de Servicios de apoyo a la Gestion </t>
  </si>
  <si>
    <t>DIANA MARCELA RUBIO ACOSTA</t>
  </si>
  <si>
    <t>BACHILLER</t>
  </si>
  <si>
    <t xml:space="preserve">MARTHA EUGENIA RAMOS OSPINA </t>
  </si>
  <si>
    <t>BELISA AMPARO OVIEDO DIAZ</t>
  </si>
  <si>
    <t xml:space="preserve">SUBDIRECCION ADMINISTRATIVA Y FINANCIERA </t>
  </si>
  <si>
    <t>20236231408000004E</t>
  </si>
  <si>
    <t>SAMC-004-2023</t>
  </si>
  <si>
    <t>Marzo</t>
  </si>
  <si>
    <t>CONTRATAR EL SERVICIO DE MONITOREO DE MEDIOS MASIVOS DE COMUNICACION</t>
  </si>
  <si>
    <t>Servicios de boletines informativos de interés especial</t>
  </si>
  <si>
    <t>20236231415000013E</t>
  </si>
  <si>
    <t>PCD-112-2023-13COM</t>
  </si>
  <si>
    <t>CONTRATAR LA SUSCRIPCION A LA REVISTA SEMANA CON DESTINO A LA OFICINA DE COMUNICACIONES DE MIGRACION COLOMBIA</t>
  </si>
  <si>
    <t>Servicios de entrega de periódicos o material publicitario</t>
  </si>
  <si>
    <t>A-02-02-01-003-002</t>
  </si>
  <si>
    <t>20232401410000001E</t>
  </si>
  <si>
    <t>Contratar el servicio de Contact Center para cubrir los canales de comunicación y servicio a la ciudadanía, establecidos por Migración Colombia.</t>
  </si>
  <si>
    <t>Servicios de soporte técnico o de mesa de ayuda</t>
  </si>
  <si>
    <t>20236231408000005E</t>
  </si>
  <si>
    <t>SIE-003-2023</t>
  </si>
  <si>
    <t>Contratar la prestación del servicio de mantenimiento preventivo y correctivo con bolsa de repuestos para los componentes de los CCTV, de acuerdo con los requerimientos técnicos de la Unidad Administrativa Especial Migración Colombia.</t>
  </si>
  <si>
    <t>Software de administración de redes</t>
  </si>
  <si>
    <t>20236231408000023E</t>
  </si>
  <si>
    <t>SIE-010-2023</t>
  </si>
  <si>
    <t>Extensión de garantía para los servidores marca DEL</t>
  </si>
  <si>
    <t>Ingeniería de software o hardware</t>
  </si>
  <si>
    <t>SIE-005-2023</t>
  </si>
  <si>
    <t>20236231408000013E</t>
  </si>
  <si>
    <t>Contratar el suministro de materiales ferroeléctricos para atender los requerimientos que en material de mantenimiento locativo presente las sedes de Migración Colombia a nivel nacional.</t>
  </si>
  <si>
    <t>Material de Ferretería y accesorios</t>
  </si>
  <si>
    <t>A-02-02-01-001-005</t>
  </si>
  <si>
    <t>20236231407000003E</t>
  </si>
  <si>
    <t>SABP-001-2023</t>
  </si>
  <si>
    <t>Bolsa de Productos</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</si>
  <si>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</si>
  <si>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Servicio de Guardias</t>
  </si>
  <si>
    <t>19223 - VF 3423</t>
  </si>
  <si>
    <t>A-02-02-02-008-005</t>
  </si>
  <si>
    <t>LP-002-202</t>
  </si>
  <si>
    <t>20236231412000005E</t>
  </si>
  <si>
    <t>Adquisición y ampliación de pasillos automáticos Biomig para los Puestos de Control Migratorio a Nivel Nacional.</t>
  </si>
  <si>
    <t>Dispositivos de control de seguridad</t>
  </si>
  <si>
    <t>PCD-107-2023</t>
  </si>
  <si>
    <t>CONTRATAR LA PRESTACIÓN DE SERVICIOS PROFESIONALES PARA EL EQUIPO DE COMUNICACIONES DE MIGRACIÓN COLOMBIA EN LA REDACCIÓN, PRODUCCIÓN GENERAL DE INFORMACIÓN, GENERACIÓN DE CONTENIDOS DIGITALES Y MULTIFORMATO, A FIN DE SER PUBLICADOS EN LOS MEDIOS VIRTUALES INSTITUCIONALES, DE ACUERDO CON LAS NECESIDADES DE LA ENTIDAD.</t>
  </si>
  <si>
    <t>Servicios de Gestión, Servicios Profesionales de Empresa, y Servicios Administrativos</t>
  </si>
  <si>
    <t>CO-103-2023</t>
  </si>
  <si>
    <t>DAVID LEONARDO ROMERO GARZÓN</t>
  </si>
  <si>
    <t>20232401413000006E</t>
  </si>
  <si>
    <t>PCD-106-2023</t>
  </si>
  <si>
    <t>20236231415000003E</t>
  </si>
  <si>
    <t>CO-098-2023</t>
  </si>
  <si>
    <t>Contrato Compraventa</t>
  </si>
  <si>
    <t>DIGITAL WARE S.A.S</t>
  </si>
  <si>
    <t>OC105871</t>
  </si>
  <si>
    <t>Orden de Compra</t>
  </si>
  <si>
    <t>XERTICA COLOMBIA SAS</t>
  </si>
  <si>
    <t>20233001413000013E</t>
  </si>
  <si>
    <t>PCD-088-2023</t>
  </si>
  <si>
    <t>CONTRATAR LA PRESTACIÓN DE SERVICIOS DE APOYO A LA GESTIÓN, PARA LA ATENCIÓN AL CIUDADANO Y LAS DEMAS ACTIVIDADES MISIONALES Y ADMINISTRATIVAS INHERENTES A LA REGIONAL ORIENTE.</t>
  </si>
  <si>
    <t>CO-086-2023</t>
  </si>
  <si>
    <t>Regional Oriente</t>
  </si>
  <si>
    <t>Cúcuta</t>
  </si>
  <si>
    <t>VIANEY RIVERA BOTELLO</t>
  </si>
  <si>
    <t>TÉCNICO EN SECRETARIADO Y CONTABILIDAD SISTEMATIZADA</t>
  </si>
  <si>
    <t>RAFAEL DARIO EUGENIO PARADA</t>
  </si>
  <si>
    <t>20233001413000014E</t>
  </si>
  <si>
    <t>PCD-094-2023</t>
  </si>
  <si>
    <t>CO-087-2023</t>
  </si>
  <si>
    <t>JESUS DAVID FUENTES CRISTANCHO</t>
  </si>
  <si>
    <t>TÉCNICO EN SEGURIDAD OCUPACIONAL</t>
  </si>
  <si>
    <t>20233001413000015E</t>
  </si>
  <si>
    <t>PCD-085-2023</t>
  </si>
  <si>
    <t>CO-085-2023</t>
  </si>
  <si>
    <t>LEIDY LEONOR PEREZ ROLON</t>
  </si>
  <si>
    <t>TÉCNICO EN RECURSOS HUMANOS</t>
  </si>
  <si>
    <t>20236121415000001E</t>
  </si>
  <si>
    <t>PCD-105-2023</t>
  </si>
  <si>
    <t>Subdirección de Talento Humano</t>
  </si>
  <si>
    <t>PRESTAR LOS SERVICIOS DE APOYO TÉCNICO A LA GESTIÓN, BRINDADO ASESORÍA DIRECTA A LA SUPERVISIÓN DEL CONTRATO DE UNIFORMES VIGENCIA 2023, ESPECÍFICAMENTE EL ACOMPAÑAMIENTO PERMANENTE EN EL PROCESO DE CONFECCIÓN, FABRICACIÓN, VERIFICACIÓN Y APROBACIÓN DE MATERIALES Y/O TEXTILES, CONTROL DE CALIDAD DE CADA UNA DE LAS PRENDAS HASTA EL RECIBO A SATISFACCIÓN DE LAS MISMAS ACORDE A LA FICHA TÉCNICA.</t>
  </si>
  <si>
    <t>80161504 - 80161500</t>
  </si>
  <si>
    <t>Servicios de oficina - Servicios de apoyo gerencial</t>
  </si>
  <si>
    <t>CO-096-2023</t>
  </si>
  <si>
    <t>AZUCENA PINZON RODRIGUEZ</t>
  </si>
  <si>
    <t>20236231408000010E</t>
  </si>
  <si>
    <t>SIE-006-2023-73SYF</t>
  </si>
  <si>
    <t>Subasta Inversa</t>
  </si>
  <si>
    <t>SERVICIO DE IMPRESIÓN, FOTOCOPIADO Y ESCÁNER DE DOCUMENTOS, MEDIANTE EL SISTEMA DE LA FIGURA DE OUTSOURCING, DE ACUERDO CON EL CUADRO DE CANTIDADES DE LAS ESPECIFICACIONES TÉCNICAS EN LAS SEDES PREVISTAS EN LA UNIDAD ADMINISTRATIVA ESPECIAL DE MIGRACIÓN COLOMBIA</t>
  </si>
  <si>
    <t xml:space="preserve">82121500;82121503;82121701;82121702;80161801 </t>
  </si>
  <si>
    <t>Impresión - Impresión digital - Servicios de copias en blanco y negro o de cotejo - Servicios de copias a color o de cotejo - Servicio de alquiler o leasing de fotocopiadoras</t>
  </si>
  <si>
    <t>A-02-02-02-008-009</t>
  </si>
  <si>
    <t>20236231408000009E</t>
  </si>
  <si>
    <t>SIE-007-2023-8SYF</t>
  </si>
  <si>
    <t>Suministro</t>
  </si>
  <si>
    <t>SUMINISTRO DE LLANTAS A NIVEL NACIONAL PARA EL PARQUE AUTOMOTOR DE LA UNIDAD ADMINISTRATIVA ESPECIAL MIGRACIÓN COLOMBIA</t>
  </si>
  <si>
    <t>25172504;25172512</t>
  </si>
  <si>
    <t>Llantas para automóviles o camionetas - Llanta de motocicleta</t>
  </si>
  <si>
    <t>A-02-02-01-003-006</t>
  </si>
  <si>
    <t>20236231408000024E</t>
  </si>
  <si>
    <t>SIE-009-2023-19TH</t>
  </si>
  <si>
    <t>Compraventa</t>
  </si>
  <si>
    <t xml:space="preserve">CONTRATAR LA ADQUISICIÓN DE SILLAS PARA LOS FUNCIONARIOS DE MIGRACIÓN COLOMBIA </t>
  </si>
  <si>
    <t>56101522;56112104</t>
  </si>
  <si>
    <t>Sillas de brazos - Sillas para ejecutivos</t>
  </si>
  <si>
    <t>A-02-01-01-003-008</t>
  </si>
  <si>
    <t>20236231407000007E</t>
  </si>
  <si>
    <t>SAMC-003-2023-SYF</t>
  </si>
  <si>
    <t>CONTRATAR A TODO COSTO, INCLUYENDO MATERIALES Y MANO DE OBRA, LA ADECUACIÓN DEL PCM SAN MIGUEL REGIONAL NARIÑO</t>
  </si>
  <si>
    <t>72101500;72102900;72121100;81101500</t>
  </si>
  <si>
    <t>Servicios de apoyo para la construcción - Servicios de mantenimiento y reparación de instalaciones - Servicios de construcción de edificios comerciales y de oficina - Ingeniería civil y arquitectura</t>
  </si>
  <si>
    <t>CO-105-2023</t>
  </si>
  <si>
    <t>Regional Andina</t>
  </si>
  <si>
    <t>EDALTEC S.A.S</t>
  </si>
  <si>
    <t>Sociedad por acciones simplificadas</t>
  </si>
  <si>
    <t>CUMPLIMIENTO, CALIDAD DEL SERVICIO, PROVISIÓN DE REPUESTOS</t>
  </si>
  <si>
    <t>ROBINSON VALENCIA GIRALDO</t>
  </si>
  <si>
    <t>CO-097-2023</t>
  </si>
  <si>
    <t>INCOMELEC S.A.S EN REORGANIZACIÓN</t>
  </si>
  <si>
    <t>NO HAN ENVIADO PÓLIZAS</t>
  </si>
  <si>
    <t>AO-005-2023</t>
  </si>
  <si>
    <t>CI GLOBAL SCIENTIFIC S.A.S</t>
  </si>
  <si>
    <t>CO-074-2023</t>
  </si>
  <si>
    <t>EXPERIAN COLOMBIA S.A.</t>
  </si>
  <si>
    <t>Sociedad Anónima</t>
  </si>
  <si>
    <t>HENRY ALBERTO PEREIRA VERA</t>
  </si>
  <si>
    <t>AO-004-2023</t>
  </si>
  <si>
    <t>CENTRO CAR 19 LTDA</t>
  </si>
  <si>
    <t>Sociedad de Responsabilidad Limitada</t>
  </si>
  <si>
    <t>CO-084-2023</t>
  </si>
  <si>
    <t>Suscripción</t>
  </si>
  <si>
    <t xml:space="preserve">AVANCE JURIDICO CASA EDITORIAL LTDA </t>
  </si>
  <si>
    <t>CO-104-2023</t>
  </si>
  <si>
    <t>EDITORIAL LA REPUBLICA SAS</t>
  </si>
  <si>
    <t>CO-075-2023</t>
  </si>
  <si>
    <t>CANNED HEAD SAS</t>
  </si>
  <si>
    <t>CO-081-2023</t>
  </si>
  <si>
    <t xml:space="preserve">THALES COLOMBIA S.A </t>
  </si>
  <si>
    <t>CUMPLIMIENTO, CALIDAD DEL SERVICIO, PAGO DE SALARIOS</t>
  </si>
  <si>
    <t>20233001413000006E</t>
  </si>
  <si>
    <t>PCD-095-2023-66TEC</t>
  </si>
  <si>
    <t>Prestación de Servicios de Apoyo a la Gestión</t>
  </si>
  <si>
    <t>Servicios Secretariales o de administración de Oficinas</t>
  </si>
  <si>
    <t xml:space="preserve">C-1199-1002-10-0-1199001-02 </t>
  </si>
  <si>
    <t>CO-092-2023</t>
  </si>
  <si>
    <t>Oriente</t>
  </si>
  <si>
    <t>Cúcuta - Norte de Santander</t>
  </si>
  <si>
    <t>MADELEYNE TORO SANCHEZ</t>
  </si>
  <si>
    <t>Tec. Analisis y Des. De Sistemas de Inf.</t>
  </si>
  <si>
    <t>EUGENIO PARADA RAFAEL DARIO</t>
  </si>
  <si>
    <t>20233001413000007E</t>
  </si>
  <si>
    <t>PCD-096-2023-67TEC</t>
  </si>
  <si>
    <t>CO-093-2023</t>
  </si>
  <si>
    <t>ALIRIO ARMANDO AREVALO MARTINEZ</t>
  </si>
  <si>
    <t>Tec. En Gestión Empresarial</t>
  </si>
  <si>
    <t>20233001413000008E</t>
  </si>
  <si>
    <t>PCD-097-2023-68TEC</t>
  </si>
  <si>
    <t>CO-094-2023</t>
  </si>
  <si>
    <t>YASMIN ROCIO ESCANDON CRISTANCHO</t>
  </si>
  <si>
    <t>Tec. En Gestión Adm.</t>
  </si>
  <si>
    <t>20233001413000009E</t>
  </si>
  <si>
    <t>PCD-098-2023-69TEC</t>
  </si>
  <si>
    <t>CO-095-2023</t>
  </si>
  <si>
    <t>SAMAEL NESIM TAVERA RUEDA</t>
  </si>
  <si>
    <t>20236231408000012E</t>
  </si>
  <si>
    <t>SIE-004-2023</t>
  </si>
  <si>
    <t>Grupo de Bienestar Social y Salud Ocupacional</t>
  </si>
  <si>
    <t>Suministro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</si>
  <si>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Bonos emitidos por el sector privado</t>
  </si>
  <si>
    <t xml:space="preserve">A-02-02-01-002-008 </t>
  </si>
  <si>
    <t>Contrato de Suministro</t>
  </si>
  <si>
    <t>20236231414000003E</t>
  </si>
  <si>
    <t>PCD-104-2023-34SYF</t>
  </si>
  <si>
    <t xml:space="preserve">Contratar el arrendamiento de un bien inmueble ubicado en urbanización mistares del Municipio de Cumbal, corregimiento de Chiles - Nariño con destino al funcionamiento del PCMT Chiles - Tufiño de Migración Colombia.  </t>
  </si>
  <si>
    <t>Arrendamiento de Instalaciones comerciales o Industriales</t>
  </si>
  <si>
    <t xml:space="preserve">A-02-02-02-007-002 </t>
  </si>
  <si>
    <t>CO-099-2023</t>
  </si>
  <si>
    <t>Contrato de Arrendamiento</t>
  </si>
  <si>
    <t>Nariño</t>
  </si>
  <si>
    <t xml:space="preserve">Corregimiento de Chiles – Municipio de Cumbal </t>
  </si>
  <si>
    <t>PARMÉNIDES IBARRA CÓRDOBA</t>
  </si>
  <si>
    <t> FIGUEROA RAMIREZ ANA MERCEDES</t>
  </si>
  <si>
    <t>20236231416000004E</t>
  </si>
  <si>
    <t>PCD-108-2023-27SYF</t>
  </si>
  <si>
    <t>Interadministrativo – Prestación de Servicios</t>
  </si>
  <si>
    <t>Contratar la prestación de servicio de recolección, curso y entrega de correo en sus diferentes modalidades a nivel nacional e internacional y el suministro de personal para la gestión documental.</t>
  </si>
  <si>
    <t>Servicios postales de paqueteo y Courier.</t>
  </si>
  <si>
    <t xml:space="preserve">A-02-02-02-006-008 </t>
  </si>
  <si>
    <t>CO-107-2023</t>
  </si>
  <si>
    <t>Interadministrativo</t>
  </si>
  <si>
    <t>SERVICIOS POSTALES NACIONALES S.A.S</t>
  </si>
  <si>
    <t>Grande</t>
  </si>
  <si>
    <t>SERRANO BORNACELLY ILVIS PATRICIA</t>
  </si>
  <si>
    <t>20236211413000007E</t>
  </si>
  <si>
    <t>PCD-111-2023-90SYF</t>
  </si>
  <si>
    <t>Prestar los servicios profesionales con autonomía técnica y administrativa en cuanto a la gestión para el puesto de Control Migratorio fronterizo fluvial ubicado el rio Orinoco en la ciudad de Puerto Carreño, en cuanto a la obtención de los permisos ambientales requeridos y la estructuración, evaluación y supervisión técnica del proceso contractual para el cumplimiento de las medidas de compensación impuestas por la Corporación Autónoma Regional de la Orinoquía, de acuerdo con las condiciones y especificaciones técnicas descritas en los documentos, estudios previos y el contrato.</t>
  </si>
  <si>
    <t>77102001 - 77101501</t>
  </si>
  <si>
    <t>Servicios de certificación de cumplimiento de requisitos legales</t>
  </si>
  <si>
    <t xml:space="preserve">C-1103-1002-2-0-1103001-02 </t>
  </si>
  <si>
    <t>CO-106-2023</t>
  </si>
  <si>
    <t>MARTHA ISABEL CONRADO LÓPEZ</t>
  </si>
  <si>
    <t>Ing. Ambiental y Sanitaria</t>
  </si>
  <si>
    <t>PORRAS GARCIA JESUS ANDRES</t>
  </si>
  <si>
    <t>20236231408000016E</t>
  </si>
  <si>
    <t>SIE-008-2023</t>
  </si>
  <si>
    <t>Oficina Tecnología de la Información</t>
  </si>
  <si>
    <t>Adquirir equipos de conectividad y la extensión de garantía de Smar Net del fabricante para los equipos Cisco de acuerdo con las especificaciones técnicas requeridas por la Unidad Administrativa Especial Migración Colombia.</t>
  </si>
  <si>
    <t>72103300; 81111800; 32151900; 43221700; 43221800; 43222600</t>
  </si>
  <si>
    <t>Dispositivos de automatización de control de la conectividad</t>
  </si>
  <si>
    <t>20236231407000015E</t>
  </si>
  <si>
    <t>MC-009-2023</t>
  </si>
  <si>
    <t>Mínima Cuantía</t>
  </si>
  <si>
    <t>Contratar el suministro de combustible parque automotor y plantas eléctricas Regional Amazonas.</t>
  </si>
  <si>
    <t>15101505; 15101506</t>
  </si>
  <si>
    <t xml:space="preserve"> Combustible diésel - Gasolina corriente</t>
  </si>
  <si>
    <t xml:space="preserve">A-02-02-01-003-003 </t>
  </si>
  <si>
    <t>252 </t>
  </si>
  <si>
    <t>20236231416000005E</t>
  </si>
  <si>
    <t>PCD-113-2023-13TH</t>
  </si>
  <si>
    <t>Subdirección de Talento Humano – Grupo de Pasajes y Viáticos</t>
  </si>
  <si>
    <t>Contratar la prestación de servicio de transporte aéreo de pasajeros en rutas operadas por SATENA y en las rutas nacionales e internacionales de otros operadores, para funcionarios y contratistas, así como para la atención de desplazamientos de deportados y/o expulsados.</t>
  </si>
  <si>
    <t>Agencias de Viajes</t>
  </si>
  <si>
    <t>A-02-02-02-006-004 - A-03-03-01-056</t>
  </si>
  <si>
    <t>PCD-011-2023-87SYF</t>
  </si>
  <si>
    <t>PCD-014-2023-86SYF</t>
  </si>
  <si>
    <t>PCD-023-2023-91SYF</t>
  </si>
  <si>
    <t>PCD-032-2023-89SYF</t>
  </si>
  <si>
    <t>PCD-039-2023-4CM</t>
  </si>
  <si>
    <t>PCD-040-2023-3CM</t>
  </si>
  <si>
    <t>PCD-044-2023-82SYF</t>
  </si>
  <si>
    <t>PCD-047-2023-7CM</t>
  </si>
  <si>
    <t>PCD-059-2023-4E</t>
  </si>
  <si>
    <t>PCD-060-2023-37SYF</t>
  </si>
  <si>
    <t>20233001413000004E</t>
  </si>
  <si>
    <t>PCD-093-2023-64TEC</t>
  </si>
  <si>
    <t>marzo</t>
  </si>
  <si>
    <t>Prestación de Servicios apoyo a la gestion</t>
  </si>
  <si>
    <t>CONTRATAR LA PRESTACIÓN DE SERVICIOS DE APOYO A LA GESTIÓN, PARA LA ATENCIÓN AL CIUDADANO Y LAS DEMAS ACTIVIDADES MISIONALES Y ADMINISTRATIVAS INHERENTES A LA REGIONAL ORIENTE</t>
  </si>
  <si>
    <t>Servicios de Gestion, servicios porfesionales de empresas, y servicios administrativos</t>
  </si>
  <si>
    <t>CO-080-2023</t>
  </si>
  <si>
    <t>regional oriente</t>
  </si>
  <si>
    <t>Cucuta</t>
  </si>
  <si>
    <t>DIANA CAROLINA ORTIZ BELTRAN</t>
  </si>
  <si>
    <t>20233001413000005E</t>
  </si>
  <si>
    <t>PCD-092-2023-65TEC</t>
  </si>
  <si>
    <t>CO-079-2023</t>
  </si>
  <si>
    <t>FRANCISCO JAVIER CASTELLANOS CARDENAS</t>
  </si>
  <si>
    <t>20233001413000010E</t>
  </si>
  <si>
    <t>PCD-099-2023-70TEC</t>
  </si>
  <si>
    <t>CO-088-2023</t>
  </si>
  <si>
    <t>JESUS DAVID GUERRERO CONTRERAS</t>
  </si>
  <si>
    <t>20233001413000011E</t>
  </si>
  <si>
    <t>PCD-100-2023-71TEC</t>
  </si>
  <si>
    <t>CO-089-2023</t>
  </si>
  <si>
    <t>MARIA CAMILA BLANCO AYALA</t>
  </si>
  <si>
    <t>20233001413000012E</t>
  </si>
  <si>
    <t>PCD-101-2023-72TEC</t>
  </si>
  <si>
    <t>CO-090-2023</t>
  </si>
  <si>
    <t>JAVIER HERNANDO CASTELLANOS CONTRERAS</t>
  </si>
  <si>
    <t>20233001413000017E</t>
  </si>
  <si>
    <t>PCD-087-2023-61TEC</t>
  </si>
  <si>
    <t>CO-076-2023</t>
  </si>
  <si>
    <t>ANDRÉS FELIPE REMOLINA OROSTEGUI</t>
  </si>
  <si>
    <t>20233001413000018E</t>
  </si>
  <si>
    <t>PCD-090-2023-62TEC</t>
  </si>
  <si>
    <t>CO-077-2023</t>
  </si>
  <si>
    <t>VIVIANA PAOLA SÁNCHEZ CAMARGO</t>
  </si>
  <si>
    <t>20233001413000019E</t>
  </si>
  <si>
    <t>PCD-091-2023-63TEC</t>
  </si>
  <si>
    <t>cancelado</t>
  </si>
  <si>
    <t>SHARON LIZBEHT ANAYA BAUTISTA</t>
  </si>
  <si>
    <t>20236231407000010E</t>
  </si>
  <si>
    <t>MC-006-2023</t>
  </si>
  <si>
    <t xml:space="preserve">minima cuantia </t>
  </si>
  <si>
    <t>aseo y cafeteria region 11</t>
  </si>
  <si>
    <t>Contratar el servicio integral de aseo y cafetería Región 11: Sede 1: 
CFSM Calle 100 Regional Andina, Sede 2: PCM Aeropuerto Internacional 
El Dorado, Sede 3: Sede Nivel central Edificio Argos, sede 4: CB Normandía de la UAEMC</t>
  </si>
  <si>
    <t>76111501-90101700</t>
  </si>
  <si>
    <t>servicios de aseo y limpieza- restaurantes y catering</t>
  </si>
  <si>
    <t>A-02-02-02-006-003</t>
  </si>
  <si>
    <t>AO-002-2023</t>
  </si>
  <si>
    <t xml:space="preserve">minima cuantia  </t>
  </si>
  <si>
    <t>LIMPIEZA INSTITUCIONAL LASU S.A.S.</t>
  </si>
  <si>
    <t>900427788-3</t>
  </si>
  <si>
    <t xml:space="preserve">Jesús Andrés Porras García </t>
  </si>
  <si>
    <t>20236231407000009E</t>
  </si>
  <si>
    <t>MC-007-2023</t>
  </si>
  <si>
    <t>aseo y cafeteria region 6</t>
  </si>
  <si>
    <t>Contratar el servicio integral de aseo y cafetería Región 06: Sede 1: PCM Rumichaca;
 Sede 2: Pasto; Sede 3: PCM Tumaco; Sede 4: PCM
 Chiles; Sede 5: PCM San Miguel; Sede 6: PCM Mataje</t>
  </si>
  <si>
    <t>AO-003-2023</t>
  </si>
  <si>
    <t>regional nariño</t>
  </si>
  <si>
    <t>Pasto</t>
  </si>
  <si>
    <t>KIOS S.A.S.</t>
  </si>
  <si>
    <t>900.562.598-8</t>
  </si>
  <si>
    <t>Ana Mercedez Figeroa</t>
  </si>
  <si>
    <t>20236001413000005E</t>
  </si>
  <si>
    <t>PCD-109-2023-3SG</t>
  </si>
  <si>
    <t>Prestación de servicios profesionales especializados 
con autonomía técnica y administrativa, para el apoyo a la gestión de la Secretaría General en el seguimiento administrativo y financiero de la contratación, en especial lo relacionado con el proyecto de tecnología.</t>
  </si>
  <si>
    <t>Servicios de gestión y servicios profesionales de empresa, y Servicios administrativos</t>
  </si>
  <si>
    <t>CO-101-2023</t>
  </si>
  <si>
    <t>CARLOS VLADIMIR COBO RAMIREZ</t>
  </si>
  <si>
    <t>20232501413000024E</t>
  </si>
  <si>
    <t>PCD-110-2023-17TEC</t>
  </si>
  <si>
    <t>CONTRATAR LA PRESTACIÓN DE LOS SERVICIOS PROFESIONALES PARA APOYAR LA GESTIÓN 
DE LA OFICINA DE TECNOLOGÍA DE LA INFORMACIÓN DE 
MIGRACIÓN COLOMBIA, EN LAS ACTIVIDADES PROPIAS DEL DESARROLLO DE APLICACIONES EN LENGUAJE .NET</t>
  </si>
  <si>
    <t>801116-811115-811120</t>
  </si>
  <si>
    <t>Servicios de gestion  Servicios Profesionales de Empresa y Servicios Administrativos - Servicios basados en Ingeniería Investigación y Tecnología -Servicios basados en Ingeniería Investigación y Tecnología</t>
  </si>
  <si>
    <t>CO-102-2023</t>
  </si>
  <si>
    <t>WILMAR ALDEMAR CABEZAS PISCO</t>
  </si>
  <si>
    <t>20236231410000005E</t>
  </si>
  <si>
    <t>compra articulos de papeleria y archivo</t>
  </si>
  <si>
    <t>Suministro de elementos de papelería y útiles de escritorio para las
 sedes a nivel nacional de la Unidad
Administrativa Especial Migración Colombia</t>
  </si>
  <si>
    <t>14111507-24141517-26111701-31162001-43202001-44101602</t>
  </si>
  <si>
    <t>Materiales yProductos de Papel -Maquinaria, accesorios y suministros para manejo, acondicionamiento y almacenamiento de materiales - Maquinaria y Accesorios para Generación y distribución de
Energía - Componentes y Suministros de Manufactura - Difusión de Tecnologías de Información y Telecomunicaciones - Equipos de oficina, accesorios y suministros</t>
  </si>
  <si>
    <t>A-02-02-01-003-002 / A-02-02-01-003-005 / A-02-02-01-003-006 
/ A-02-02-01-003-008 /A-02-02-01-004-002 
/ A-02-02-01-004-005 / A-02-02-01-004-006</t>
  </si>
  <si>
    <t>OC 106509-2023</t>
  </si>
  <si>
    <t>no</t>
  </si>
  <si>
    <t>Luz Elena Morales Alfonso</t>
  </si>
  <si>
    <t>20236231410000006E</t>
  </si>
  <si>
    <t>OC -106488-2023</t>
  </si>
  <si>
    <t>FERRICENTROS</t>
  </si>
  <si>
    <t>800237412-1</t>
  </si>
  <si>
    <t>20236231410000007E</t>
  </si>
  <si>
    <t>OC-106652-2023</t>
  </si>
  <si>
    <t>PANAMERICANA LIBRERÍA Y PAPELERÍA S.A.</t>
  </si>
  <si>
    <t>830037946-3</t>
  </si>
  <si>
    <t>20236231410000004E</t>
  </si>
  <si>
    <t>20236231410000009E</t>
  </si>
  <si>
    <t>OC-106654-2023</t>
  </si>
  <si>
    <t>VENEPLAST LTDA</t>
  </si>
  <si>
    <t>900019737-8</t>
  </si>
  <si>
    <t>JAVIER FERNANDO TORRES BARÓN</t>
  </si>
  <si>
    <t>20236231410000008E</t>
  </si>
  <si>
    <t>OC-106651-2023</t>
  </si>
  <si>
    <t xml:space="preserve"> JAIME BELTRAN URIBE - Polyflex</t>
  </si>
  <si>
    <t>20236221410000001E</t>
  </si>
  <si>
    <t>minima cuantia-acuerdo marco</t>
  </si>
  <si>
    <t>firmas digitales</t>
  </si>
  <si>
    <t>Adquirir certificados de firma digital de conformidad
 con las especificaciones de la unidad administrativa especial migración Colombia</t>
  </si>
  <si>
    <t>Difusión de tecnologías de información y telecomunicaciones Software ,Software de seguridad y protección</t>
  </si>
  <si>
    <t xml:space="preserve">20236231410000022E </t>
  </si>
  <si>
    <t>20236231410000023E</t>
  </si>
  <si>
    <t>20236231407000004E</t>
  </si>
  <si>
    <t>MC-008-2023</t>
  </si>
  <si>
    <t>mantenimineto correctivo sillas ergonomicas</t>
  </si>
  <si>
    <t>Contratar el mantenimiento correctivo para la sillas ergonómicas de los
 funcionarios de Bogotá de Migración Colombia</t>
  </si>
  <si>
    <t>56112107 - 72153613</t>
  </si>
  <si>
    <t>MUEBLES MOBILIARIO Y DECORACION - SERVICIO DE EDIFICACION, CONSTRUCCION, DE INSTALACIONES Y MANTENIMIENTO</t>
  </si>
  <si>
    <t xml:space="preserve">Selección abreviada </t>
  </si>
  <si>
    <t xml:space="preserve"> menor cuantía</t>
  </si>
  <si>
    <t>Selección abreviada</t>
  </si>
  <si>
    <t>grandes superficies</t>
  </si>
  <si>
    <t>minima cuantia</t>
  </si>
  <si>
    <t>20236231414000004E</t>
  </si>
  <si>
    <t>PCD-103-2023-35SYF</t>
  </si>
  <si>
    <t>CONTRATAR EL ARRENDAMIENTO DE CUPOS DE PARQUEADERO PARA EL PARQUE AUTOMOTOR DE LA REGIONAL EJE CAFETERO UBICADA EN LA CIUDAD DE PEREIRA</t>
  </si>
  <si>
    <t>Arrendamiento de Instalaciones comerciales o industriales</t>
  </si>
  <si>
    <t>CO-100-2023</t>
  </si>
  <si>
    <t>ARRENDAMIENTO</t>
  </si>
  <si>
    <t>EJE CAFETERO</t>
  </si>
  <si>
    <t xml:space="preserve">PEREIRA </t>
  </si>
  <si>
    <t>UNIÒN TEMPORAL CITY PARKING BROKERS /: JUAN CARLOS SALAZAR SANTOS</t>
  </si>
  <si>
    <t>ELISABETH USECHE</t>
  </si>
  <si>
    <t>20236231410000010E</t>
  </si>
  <si>
    <t>MINIMA CUANTIA</t>
  </si>
  <si>
    <t xml:space="preserve">orden de compra </t>
  </si>
  <si>
    <t>CONTRATAR LA ADQUISICIÓN DE ELEMENTOS PARA LOS ALOJAMIENTOS DE LA ENTIDAD</t>
  </si>
  <si>
    <t>Colchones o sets para dormir</t>
  </si>
  <si>
    <t>A-02-02-01-003-008</t>
  </si>
  <si>
    <t>COMPRAVENTA</t>
  </si>
  <si>
    <t>CAJA COLOMBIANA DE SUBSIDIO FAMILIAR COLSUBSIDIO</t>
  </si>
  <si>
    <t>MILADIS PADILLA</t>
  </si>
  <si>
    <t>20236231410000014E</t>
  </si>
  <si>
    <t>20236231410000016E</t>
  </si>
  <si>
    <t>FERRICENTROS SAS</t>
  </si>
  <si>
    <t>20236231410000017E</t>
  </si>
  <si>
    <t>PROVEER INSTITUCIONAL SAS</t>
  </si>
  <si>
    <t>20236231410000003E</t>
  </si>
  <si>
    <t>CONTRATAR LA ADQUISICIÓN DE BOTIQUINES REQUERIDOS PARA PREVENCIÓN DE EMERGENCIAS</t>
  </si>
  <si>
    <t>Estuches o bolsas o accesorios de primeros auxilios para servicios médicos de emergencia</t>
  </si>
  <si>
    <t>A-02-02-01-003-005</t>
  </si>
  <si>
    <t> 20236211410000001E</t>
  </si>
  <si>
    <t xml:space="preserve">Servicios de limpieza y mantenimiento de edificios generales y de oficinas </t>
  </si>
  <si>
    <t>20236211410000002E</t>
  </si>
  <si>
    <t>20236211410000003E</t>
  </si>
  <si>
    <t>CONTRATAR EL SERVICIO INTEGRAL DE ASEO Y CAFETERÍA PARA LA SEDE DE VILLAVICENCIO REGIÓN 10 DE LA UNIDAD ADMINISTRATIVA ESPECIAL MIGRACIÓN COLOMBIA</t>
  </si>
  <si>
    <t>20236211410000006E</t>
  </si>
  <si>
    <t>20236211410000005E</t>
  </si>
  <si>
    <t>20236211410000007E</t>
  </si>
  <si>
    <t> 20236211410000009E</t>
  </si>
  <si>
    <t>20236211410000013E</t>
  </si>
  <si>
    <t>20236211410000008E</t>
  </si>
  <si>
    <t>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</si>
  <si>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20236211410000012E</t>
  </si>
  <si>
    <t>20236211410000011E</t>
  </si>
  <si>
    <t>20236211410000010E</t>
  </si>
  <si>
    <t>AREA DE LA  NECESIDAD</t>
  </si>
  <si>
    <t>20233021408000001E</t>
  </si>
  <si>
    <t>SIE-011-2023</t>
  </si>
  <si>
    <t>Abril</t>
  </si>
  <si>
    <t>11/042023</t>
  </si>
  <si>
    <t>n. 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</si>
  <si>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Servicios de diseño e ingeniería de sistemas instrumentados de control</t>
  </si>
  <si>
    <t>PCD-119-2023</t>
  </si>
  <si>
    <t>20236231415000012E</t>
  </si>
  <si>
    <t>Servicio de mantenimiento preventivo y correctivo para los equipos de grafología video comparadores, con bolsa de repuestos.</t>
  </si>
  <si>
    <t>Servicio de instalación y mantenimiento de sistemas instrumentados de seguridad</t>
  </si>
  <si>
    <t>SAMC-006-2023</t>
  </si>
  <si>
    <t>20236231408000025E</t>
  </si>
  <si>
    <t>Contratar los servicios profesionales para la creación de contenidos virtuales para la plataforma de Migración Colombia.</t>
  </si>
  <si>
    <t>Servicios de formación de recursos humanos para el sector publico</t>
  </si>
  <si>
    <t>C-1199-1002-9-0-1199005-02</t>
  </si>
  <si>
    <t>20236231408000027E</t>
  </si>
  <si>
    <t>SAM-007-2023</t>
  </si>
  <si>
    <t>Contratar a todo costo incluyendo materiales y mano de obra, la adecuación del CFSM Maicao de la Regional Guajira.</t>
  </si>
  <si>
    <t>Servicios de apoyo para la construcción</t>
  </si>
  <si>
    <t>SABP-002-2023</t>
  </si>
  <si>
    <t>20236231420000002E</t>
  </si>
  <si>
    <t>SUMINISTRAR A NIVEL NACIONAL LOS UNIFORMES A LOS FUNCIONARIOS DE LA UNIDAD ADMINISTRATIVA ESPECIAL MIGRACIÓN COLOMBIA QUE LLEVAN A CABO LABORES MISIONALES, CORRESPONDIENTE A LA VIGENCIA.”</t>
  </si>
  <si>
    <t>Pantalones largos o cortos o pantalonetas para hombre</t>
  </si>
  <si>
    <t>OC-107791</t>
  </si>
  <si>
    <t>BPM CONSULTING</t>
  </si>
  <si>
    <t>LEIDY ANDREA MARTINEZ GUTIERREZ</t>
  </si>
  <si>
    <t xml:space="preserve">Juan David Camargo García </t>
  </si>
  <si>
    <t xml:space="preserve">20236231407000019E </t>
  </si>
  <si>
    <t>MC-013-2023</t>
  </si>
  <si>
    <t xml:space="preserve">Subdirección Administrativa y Financiera </t>
  </si>
  <si>
    <t xml:space="preserve">CONTRATAR EL SUMINISTRO DE COMBUSTIBLE PARQUE AUTOMOTOR Y PLANTAS ELÉCTRICAS REGIONAL SAN ANDRES Y PROVIDENCIA </t>
  </si>
  <si>
    <t xml:space="preserve">Combustible diésel </t>
  </si>
  <si>
    <t>A-02-02-01-003-003</t>
  </si>
  <si>
    <t xml:space="preserve">En trámite </t>
  </si>
  <si>
    <t xml:space="preserve">20236231415000015E </t>
  </si>
  <si>
    <t>PCD-116-2023</t>
  </si>
  <si>
    <t xml:space="preserve">Contratación Directa </t>
  </si>
  <si>
    <t xml:space="preserve">Interadministrativo </t>
  </si>
  <si>
    <t>PRESTAR EL SERVICIO DE ADMINISTRACIÓN, CUSTODIA, DIGITALIZACIÓN, ORGANIZACIÓN DE ARCHIVOS ASÍ COMO LA VERIFICACIÓN DE INVENTARIOS DOCUMENTALES, ELIMINACIÓN DOCUMENTAL y SANEAMIENTO AMBIENTAL DE LA UAEMC.</t>
  </si>
  <si>
    <t>Almacenaje de archivos de carpeta</t>
  </si>
  <si>
    <t>C-1199-1002-8-0-1199003-02; C-1199-1002-8-0-1199018-02</t>
  </si>
  <si>
    <t xml:space="preserve">En ejecución </t>
  </si>
  <si>
    <t>CO-120-2023</t>
  </si>
  <si>
    <t xml:space="preserve">Abril </t>
  </si>
  <si>
    <t xml:space="preserve">Bogotá D.C. </t>
  </si>
  <si>
    <t xml:space="preserve">ARCHIVOS DEL ESTADO Y TECNOLOGIAS DE LA INFORMACION SAS </t>
  </si>
  <si>
    <t>901.244.985-5</t>
  </si>
  <si>
    <t>CUMPLIMIENTO/SALARIOS/CALIDAD DEL SERVICIO</t>
  </si>
  <si>
    <t xml:space="preserve">ILVIS PATRICIA BORNACELLY </t>
  </si>
  <si>
    <t xml:space="preserve">20236141413000001E </t>
  </si>
  <si>
    <t>PCD-115-2023</t>
  </si>
  <si>
    <t xml:space="preserve">Subdirección de Talento Humano </t>
  </si>
  <si>
    <t>CONTRATAR LA PRESTACIÓN DE LOS SERVICIOS PROFESIONALES CON AUTONOMÍA TÉCNICA Y ADMINISTRATIVA A LA SUBDIRECCIÓN DE TALENTO HUMANO, TENDIENTE A APOYAR LA MEJORA DEL SISTEMA DE INFORMACIÓN EN NÓMINA BASADO EN LA PARAMETRIZACIÓN DE LOS MÓDULOS DEL SISTEMA KACTUS Y SELF SERVICE Y/O ACTIVACIÓN DE LOS QUE SE CONSIDEREN NECESARIOS HACIENDO USO DEL CONTRATO DE HORAS CON EL PROVEEDOR DIGITAL WARE</t>
  </si>
  <si>
    <t>CO-114-2023</t>
  </si>
  <si>
    <t>NORMA PATRICIA SANCHEZ CUBIDES</t>
  </si>
  <si>
    <t xml:space="preserve">INGENIERA COMERCIAL </t>
  </si>
  <si>
    <t>CUMPLIMIENTO</t>
  </si>
  <si>
    <t xml:space="preserve">MARCELA LARA TORO </t>
  </si>
  <si>
    <t xml:space="preserve">20232501413000025E </t>
  </si>
  <si>
    <t>PCD-117-2023</t>
  </si>
  <si>
    <t xml:space="preserve">Oficina de Tecnología de la Información </t>
  </si>
  <si>
    <t>PRESTAR SERVICIOS PROFESIONALES A LA OFICINA DE TECNOLOGÍA DE LA INFORMACIÓN, PARA EL SEGUIMIENTO Y MANTENIMIENTO AL SISTEMA DE GESTIÓN DE LA SEGURIDAD DE LA INFORMACIÓN (SGSI) Y DEMÁS DOMINIOS DE ARQUITECTURA EMPRESARIAL DE MIGRACIÓN COLOMBIA</t>
  </si>
  <si>
    <t xml:space="preserve">Ingenieria de oftware y hardware </t>
  </si>
  <si>
    <t>CO-115-2023</t>
  </si>
  <si>
    <t xml:space="preserve">ISIS JOHANNA GOMEZ PERALTA </t>
  </si>
  <si>
    <t xml:space="preserve">DIEGO EMILIO OJEDA MONCAYO </t>
  </si>
  <si>
    <t xml:space="preserve">20236231416000011E </t>
  </si>
  <si>
    <t>PCD-118-2023</t>
  </si>
  <si>
    <t>CONTRATAR LA REALIZACIÓN DE ACCIONES DE FORMACIÓN ATENDIENDO LA SOLICITUD DE LAS OFICINAS : TECNOLOGIAS DE LA INFORMACION Y COMUNICACIONES, DIRIGIDO A FUNCIONARIOS DE MIGRACIÓN COLOMBIA</t>
  </si>
  <si>
    <t xml:space="preserve">Educación Adultos </t>
  </si>
  <si>
    <t>20236231407000012E</t>
  </si>
  <si>
    <t>MC-012-2023</t>
  </si>
  <si>
    <t xml:space="preserve">CONTRATAR EL SUMINISTRO DE UNA BOLSA DE REPUESTOS PARA EQUIPOS DE COMPUTO E IMPRESIÓN. </t>
  </si>
  <si>
    <t>32101601;43211706;43201803;43202222;43211708;43211719;43211711;44101706;44103004;44103125</t>
  </si>
  <si>
    <t>Memoria de acceso aleatorio (ram) - Teclados - Unidades de disco duro - Cables de computador - Mouse o bola de seguimiento para computador - Micrófonos de voz para computadores - Escáneres - Unidades de fotoconductores o imágenes - Fusores - Kit de mantenimiento de impresoras</t>
  </si>
  <si>
    <t>MC-010-2023</t>
  </si>
  <si>
    <t>Prestación de Servicios</t>
  </si>
  <si>
    <t xml:space="preserve">SERVICIO DE MANTENIMIENTO PREVENTIVO Y CORRECTIVO INCLUIDO REPUESTOS PARA EL PARQUE AUTOMOTOR  REGIONAL ORIENTE EN LA CIUDAD DE CÚCUTA </t>
  </si>
  <si>
    <t>Reparación y mantenimiento automotor y de camiones ligeros</t>
  </si>
  <si>
    <t>20236231407000024E</t>
  </si>
  <si>
    <t>MC-011-2023</t>
  </si>
  <si>
    <t>SERVICIO DE MANTENIMIENTO PREVENTIVO Y CORRECTIVO INCLUIDO REPUESTOS PARA EL PARQUE AUTOMOTOR DE LA  REGIONAL ATLÁNTICO</t>
  </si>
  <si>
    <t>20236231416000006E</t>
  </si>
  <si>
    <t>PCD-114-2023-9TH</t>
  </si>
  <si>
    <t>CONTRATAR LOS SERVICIOS PROFESIONALES PARA LA REALIZACIÓN DE ACCIONES DE FORMACIÓN EN DIFERENTES CONTENIDOS TEMÁTICOS A FIN DE LLEVAR A CABO CAPACITACIONES PARA LOS FUNCIONARIOS DE MIGRACIÓN COLOMBIA A NIVEL NACIONAL</t>
  </si>
  <si>
    <t>86111600;86111500</t>
  </si>
  <si>
    <t>Educación de adultos - Servicios de aprendizaje a distancia</t>
  </si>
  <si>
    <t>Ana Mercedez Figueroa</t>
  </si>
  <si>
    <t>AO-007-2023</t>
  </si>
  <si>
    <t>POWERSUN SAS</t>
  </si>
  <si>
    <t>AO-006-2023</t>
  </si>
  <si>
    <t>INDULTEC SOLUCIONES INTEGRALES SAS</t>
  </si>
  <si>
    <t>JUAN CARLOS ACOSTA ALVAREZ</t>
  </si>
  <si>
    <t>20236211410000016E</t>
  </si>
  <si>
    <t>R2 CONTRATAR EL SERVICIO INTEGRAL DE ASEO Y CAFETERÍA REGIÓN 2 (CARIBE)</t>
  </si>
  <si>
    <t>EN TRAMITE</t>
  </si>
  <si>
    <t xml:space="preserve">ABRIL </t>
  </si>
  <si>
    <t xml:space="preserve">PREStación de Servicios de apoyo a la Gestion </t>
  </si>
  <si>
    <t>Regional Caribe</t>
  </si>
  <si>
    <t>Cartagena</t>
  </si>
  <si>
    <t>UT ECOLIMPIEZA 4G</t>
  </si>
  <si>
    <t>PENDIENTE</t>
  </si>
  <si>
    <t>20236211410000018E</t>
  </si>
  <si>
    <t>R6 CONTRATAR EL SERVICIO INTEGRAL DE ASEO Y CAFETERIA REGION 6 (NARIÑO)</t>
  </si>
  <si>
    <t xml:space="preserve">PUBLICADO CIERRE SOL RFI EL 27 DE ABRIL </t>
  </si>
  <si>
    <t>R16 CONTRATAR EL SERVICIO INTEGRAL DE ASEO Y CAFETERIA PARA LA SEDE 1: CFSM PUERTO CARREÑO. REGION 16 DE LA UNIDAD ADMINISTRATIVA ESPECIAL MIGRACIÓN COLOMBIA</t>
  </si>
  <si>
    <t xml:space="preserve">PUBLICADO CIERRE SOL RFI EL 25 DE ABRIL </t>
  </si>
  <si>
    <t>20236231410000025E</t>
  </si>
  <si>
    <t>SUBDIRECCION TALENTO HUMANO</t>
  </si>
  <si>
    <t>CONTRATAR LA ADQUISICIÓN DE ELEMENTOS PARA PREVENCIÓN DE RIESGO ERGONÓMICO</t>
  </si>
  <si>
    <t>Descansapies</t>
  </si>
  <si>
    <t>JAIME BELTRAN URIBE</t>
  </si>
  <si>
    <t xml:space="preserve">ANGY ACOCHA ARISTIZABAL </t>
  </si>
  <si>
    <t>20236231409000001E</t>
  </si>
  <si>
    <t>20236231410000026E</t>
  </si>
  <si>
    <t>CONTRATAR LA ADQUISICIÓN DE ELEMENTOS DE PROTECCIÓN PERSONAL E INDIVIDUAL (ELEMENTOS DE PROTECCIÓN  (CHALECOS REFLECTIVOS, GAFAS, PROTECTORES AUDITIVOS)) PARA LOS FUNCIONARIOS QUE REALIZAN OTRAS ACTIVIDADES MISIONALES, TENIENDO EN CUENTA LO CONTEMPLADO POR SALUD OCUPACIONAL.</t>
  </si>
  <si>
    <t>RUBY VILLARRAGA BELLO</t>
  </si>
  <si>
    <t>INVERSION Y HOGAR SAS</t>
  </si>
  <si>
    <t>PEQUEÑA</t>
  </si>
  <si>
    <t>R1 CONTRATAR EL SERVICIO INTEGRAL DE ASEO Y CAFETERIA PARA LAS SEDES DE: SANTA MARTA, RIOHACHA, MAICAO, VALLEDUPAR, Y PCM PARAGUACHON (MAICAO) REGION 1 DE LA UNIDAD ADMINISTRATIVA ESPECIAL MIGRACIÓN COLOMBIA</t>
  </si>
  <si>
    <t>Regional Atlantico</t>
  </si>
  <si>
    <t>Santa Martha</t>
  </si>
  <si>
    <t>UT OUTSOURCING GIAF</t>
  </si>
  <si>
    <t>21/04/202</t>
  </si>
  <si>
    <t>HILAIS MILAGRO ARREDONDO</t>
  </si>
  <si>
    <t>R3 CONTRATAR EL SERVICIO INTEGRAL DE ASEO Y CAFETERIA PARA LAS SEDES: SEDE 1: SEDE PRINCIPAL REGIONAL ANTIOQUIA, SEDE 2: PCM AEROPUERTO RIO NEGRO, SEDE 3: PCM TURBO, SEDE 4: PCM CAPURGANÁ, SEDE 5: PCM JURADO, SEDE 6: PVM NECOCLÍ, DE LA REGION 3 DE LA UNIDAD ADMINISTRATIVA ESPECIAL MIGRACIÓN COLOMBIA</t>
  </si>
  <si>
    <t>107281</t>
  </si>
  <si>
    <t>Regional Antioquia</t>
  </si>
  <si>
    <t>Medellin</t>
  </si>
  <si>
    <t xml:space="preserve">UNION TEMPORAL SERTOP </t>
  </si>
  <si>
    <t>TANIA DE CARMEN MORALES</t>
  </si>
  <si>
    <t>R4 CONTRATAR EL SERVICIO INTEGRAL DE ASEO Y CAFETERIA PARA LA SEDE DE ARMENIA, PEREIRA, EL EDÉN (LA TEBAIDA) Y MANIZALES. REGION 4 DE LA UNIDAD ADMINISTRATIVA ESPECIAL MIGRACIÓN COLOMBIA</t>
  </si>
  <si>
    <t>Regional Eje Cafetero</t>
  </si>
  <si>
    <t>Armenia</t>
  </si>
  <si>
    <t>ELISABETH USECHE MARIN</t>
  </si>
  <si>
    <t>R5 CONTRATAR EL SERVICIO INTEGRAL DE ASEO Y CAFETERIA PARA LAS SEDES DE POPAYÁN, BUENAVENTURA, CALI Y PALMIRA REGION 5 DE LA UNIDAD ADMINISTRATIVA ESPECIAL MIGRACIÓN COLOMBIA</t>
  </si>
  <si>
    <t>107318</t>
  </si>
  <si>
    <t>Regional Occidente</t>
  </si>
  <si>
    <t>Cali</t>
  </si>
  <si>
    <t xml:space="preserve">INTERNEGOCIOS SAS </t>
  </si>
  <si>
    <t>AIDA LORENA TELLO</t>
  </si>
  <si>
    <t>R7 CONTRATAR EL SERVICIO INTEGRAL DE ASEO Y CAFETERIA PARA LAS SEDES: NEIVA, IBAGUÉ Y PUERTO LEGUIZAMO, REGION 7 DE LA UNIDAD ADMINISTRATIVA ESPECIAL MIGRACIÓN COLOMBIA</t>
  </si>
  <si>
    <t>Neiva</t>
  </si>
  <si>
    <t>Ibague</t>
  </si>
  <si>
    <t xml:space="preserve">CARLOS ALBERTO ARCHILA </t>
  </si>
  <si>
    <t>20236211410000014E</t>
  </si>
  <si>
    <t>R8 CONTRATAR EL SERVICIO INTEGRAL DE ASEO Y CAFETERÍA PARA LAS SEDES TUNJA Y YOPAL REGIÓN 8 DE LA UNIDAD ADMINISTRATIVA ESPECIAL MIGRACIÓN COLOMBIA</t>
  </si>
  <si>
    <t>Tunja</t>
  </si>
  <si>
    <t>UT ASEAMOS 2022 A4</t>
  </si>
  <si>
    <t>R10 CONTRATAR EL SERVICIO INTEGRAL DE ASEO Y CAFETERÍA PARA LA SEDE DE VILLAVICENCIO REGIÓN 10 DE LA UNIDAD ADMINISTRATIVA ESPECIAL MIGRACIÓN COLOMBIA</t>
  </si>
  <si>
    <t>107282</t>
  </si>
  <si>
    <t>villavicencio</t>
  </si>
  <si>
    <t>MIGUEL ANGEL LUNA  CASTRO</t>
  </si>
  <si>
    <t>20236211410000015E</t>
  </si>
  <si>
    <t>R11 CONTRATAR EL SERVICIO INTEGRAL DE ASEO Y CAFETERIA REGION 11: Sede 1: CFSM Calle 100 Regional Andina, Sede 2: PCM Aeropuerto Internacional El Dorado, Sede 3: Sede Nivel central Edificio Argos, sede 4: CB Normandía de la UAEMC.</t>
  </si>
  <si>
    <t>Nivel central</t>
  </si>
  <si>
    <t>JOHANA OVIEDO MOLANO</t>
  </si>
  <si>
    <t>R12 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</si>
  <si>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107605</t>
  </si>
  <si>
    <t>San Andres y Providencia</t>
  </si>
  <si>
    <t xml:space="preserve">LIMPIEZA INSTITUCIONAL LASU </t>
  </si>
  <si>
    <t>ARLET PATRICIA VILLADIEGO</t>
  </si>
  <si>
    <t>R13 CONTRATAR EL SERVICIO INTEGRAL DE ASEO Y CAFETERIA PARA LAS SEDES DE: SEDE 1: CFSM LETICIA, SEDE 2: PCMA AEROPUERTO INTERNACIONAL ALFREDO VASQUEZ COBO, SEDE 3: PCM BALSA MIGRATORIA LETICIA, REGION 13 DE LA UNIDAD ADMINISTRATIVA ESPECIAL MIGRACIÓN COLOMBIA.</t>
  </si>
  <si>
    <t>107284</t>
  </si>
  <si>
    <t>amazonas</t>
  </si>
  <si>
    <t>CONSERJES INMOBILIARIOS</t>
  </si>
  <si>
    <t>DIANA VICENTA CAMARGO</t>
  </si>
  <si>
    <t>R14 CONTRATAR EL SERVICIO INTEGRAL DE ASEO Y CAFETERIA PARA LA SEDE 1: PCM BAHÍA SOLANO, SEDE 2: CFSM QUIBDÓ, REGION 14 DE LA UNIDAD ADMINISTRATIVA ESPECIAL MIGRACIÓN COLOMBIA</t>
  </si>
  <si>
    <t>107476</t>
  </si>
  <si>
    <t>Choco</t>
  </si>
  <si>
    <t>R15 CONTRATAR EL SERVICIO INTEGRAL DE ASEO Y CAFETERIA PARA LAS SEDES DE: SEDE 1: CFSM ARAUCA, SEDE 2: PCM PUENTE INTERNACIONAL JOSÉ ANTONIO PÁEZ, REGION 15 DE LA UNIDAD ADMINISTRATIVA ESPECIAL MIGRACIÓN COLOMBIA.</t>
  </si>
  <si>
    <t>Arauca</t>
  </si>
  <si>
    <t>RAFAEL RICARDO ZUÑIGA</t>
  </si>
  <si>
    <t>R18 CONTRATAR EL SERVICIO INTEGRAL DE ASEO Y CAFETERIA PARA LA SEDE 1: PCM PUERTO INÍRIDA, REGION 18 DE LA UNIDAD ADMINISTRATIVA ESPECIAL MIGRACIÓN COLOMBIA</t>
  </si>
  <si>
    <t>107466</t>
  </si>
  <si>
    <t>pto inirida</t>
  </si>
  <si>
    <t xml:space="preserve">PAMELA ANDREA GUANARE </t>
  </si>
  <si>
    <t>Adquirir certificados de firma digital de conformidad con las especificaciones de la unidad administrativa especial migración Colombia</t>
  </si>
  <si>
    <t>Software de seguridad y protección</t>
  </si>
  <si>
    <t>SOCIEDAD CAMERAL DE CERTIFICACION DIGITAL CERTICAMARA S.A.</t>
  </si>
  <si>
    <t>GILMER AMEZQUITA  MONROY</t>
  </si>
  <si>
    <t>20236231410000018E</t>
  </si>
  <si>
    <t>GESTION DE SEGURIDAD ELECTRONICA SA</t>
  </si>
  <si>
    <t> 72923</t>
  </si>
  <si>
    <t>SHIRLEY HERAZ DE LA OZ</t>
  </si>
  <si>
    <t>20236231410000024E</t>
  </si>
  <si>
    <t xml:space="preserve">YANA CRISTINA GONZALEZ </t>
  </si>
  <si>
    <t>Suministro de elementos de papelería y útiles de escritorio para las sedes a nivel nacional de la Unidad Administrativa Especial Migración Colombia.</t>
  </si>
  <si>
    <t>Papel para Impresora o fotocopiadora</t>
  </si>
  <si>
    <t>LUZ ELENA MORALES ALFONSO</t>
  </si>
  <si>
    <t>DESIERTO</t>
  </si>
  <si>
    <t>NO HAY RESOLUCION</t>
  </si>
  <si>
    <t>20236231407000016E</t>
  </si>
  <si>
    <t>SAMC-005-2023</t>
  </si>
  <si>
    <t>abril</t>
  </si>
  <si>
    <t>Selección Abreviada - Menor Cuantía</t>
  </si>
  <si>
    <t xml:space="preserve">Contratar el servicio de mantenimiento preventivo y correctivo incluido repuesto para el parque automotor ubicado en Bogotá y Regional Andina sedes Tunja, Ibagué y Neiva.  </t>
  </si>
  <si>
    <t>20236231408000015E</t>
  </si>
  <si>
    <t>SIE-012-2023</t>
  </si>
  <si>
    <t xml:space="preserve">Selección Abreviada - Subasta Inversa Electrónica o Presencial </t>
  </si>
  <si>
    <t>Oficina de Tecnologías de la Información</t>
  </si>
  <si>
    <t>Adquirir renovación, actualización y soporte del licenciamiento Aranda y servicios asociados saas.</t>
  </si>
  <si>
    <t>43231500 - 43231501 - 81111800 - 81112200 - 43232300 - 43232600</t>
  </si>
  <si>
    <t>Software de Mesa de ayuda</t>
  </si>
  <si>
    <t>20236231408000017E</t>
  </si>
  <si>
    <t>SIE-013-2023</t>
  </si>
  <si>
    <t xml:space="preserve">Contratar la actualización del licenciamiento de Antivirus con soporte técnico, de conformidad con las especificaciones técnicas señaladas por la Unidad Administrativa Especial Migración Colombia. </t>
  </si>
  <si>
    <t>43232800 - 43232900 - 43233200 - 81112200 - 81112500 - 81112202</t>
  </si>
  <si>
    <t>20236231408000020E</t>
  </si>
  <si>
    <t>SAMC-008-2023</t>
  </si>
  <si>
    <t>Contratar a todo costo, incluyendo materiales y mano de obra, la adecuación de la sede del CFSM de Medellín - Regional Antioquia.</t>
  </si>
  <si>
    <t xml:space="preserve"> 72101507 - 72102905 - 81101701 - 72151605</t>
  </si>
  <si>
    <t xml:space="preserve">Servicios de apoyo para la construcción </t>
  </si>
  <si>
    <t xml:space="preserve">C-1103-1002-2-0-1103002-02 </t>
  </si>
  <si>
    <t>20236231408000014E</t>
  </si>
  <si>
    <t>SIE-014-2023</t>
  </si>
  <si>
    <t>Contratar el mantenimiento de UPS´S a nivel nacional, extensión de garantía para los equipos marca APC y mantenimiento preventivo, correctivo con suministro de repuestos para control de acceso, contra incendio y aires acondicionados de confort, para los centros de cómputo principal y alterno.</t>
  </si>
  <si>
    <t>26111600 - 72103302 - 26111700 - 26131800</t>
  </si>
  <si>
    <t xml:space="preserve">Generadores de Energía </t>
  </si>
  <si>
    <t>AO-008-2023</t>
  </si>
  <si>
    <t>Amazonas</t>
  </si>
  <si>
    <t>Leticia - Amazonas</t>
  </si>
  <si>
    <t>ALBERTO LÓPEZ JIMÉNEZ</t>
  </si>
  <si>
    <t>CO-109-2023</t>
  </si>
  <si>
    <t>SERVICIO AEREO A TERRITORIOS NACIONALES S.A. SATENA</t>
  </si>
  <si>
    <t>FERNANDEZ BAQUERO JUDY MELINDA</t>
  </si>
  <si>
    <t>CO-111-2023</t>
  </si>
  <si>
    <t xml:space="preserve">Contrato Electrónico de Sucripción </t>
  </si>
  <si>
    <t>Calle 24A No 59 - 42 Edificio Argos</t>
  </si>
  <si>
    <t>PUBLICACIONES SEMANA S.A.</t>
  </si>
  <si>
    <t>860.509.256-1</t>
  </si>
  <si>
    <t>CO-110-2023</t>
  </si>
  <si>
    <t xml:space="preserve">Contrato de Comisión </t>
  </si>
  <si>
    <t xml:space="preserve">CORREAGRO S.A. </t>
  </si>
  <si>
    <t>805000867-9</t>
  </si>
  <si>
    <t>78823/78723</t>
  </si>
  <si>
    <t>ANDREA PEREZ ARISMENDI</t>
  </si>
  <si>
    <t>20236211410000017E</t>
  </si>
  <si>
    <t>Cesar Augusto Mejía Carrillo</t>
  </si>
  <si>
    <t>20236231410000021E</t>
  </si>
  <si>
    <t xml:space="preserve">CONTRATAR LA ADQUISICIÓN DE SOAT PARA EL PARQUE AUTOMOTOR DE MIGRACIÓN COLOMBIA </t>
  </si>
  <si>
    <t>Seguro de daños personales por accidente</t>
  </si>
  <si>
    <t>Orden de compra</t>
  </si>
  <si>
    <t>MAPFRE SEGUROS GENERALES DE COLOMBIA S.A</t>
  </si>
  <si>
    <t>ELIANA CRISTINA CAMARGO SEGURA</t>
  </si>
  <si>
    <t>CONTRATAR LA ACTUALIZACIÓN DE LAS LICENCIAS PARA LOS SISTEMAS KACTUS Y SEVEN Y SERVICIO DE SOPORTE TÉCNICO ESPECIALIZADO PRESENCIAL, DE CONFORMIDAD CON LAS ESPECIFICACIONES DE LA UNIDAD ADMINISTRATIVA ESPECIAL MIGRACIÓN COLOMBIA INDICADAS EN EL ESTUDIO PREVIO</t>
  </si>
  <si>
    <t>45 CUMPLIM+ CALIDAD DL SERVICIO</t>
  </si>
  <si>
    <t>LUIS FERNANDO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</si>
</sst>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164" formatCode="_-&quot;$&quot;* #,##0.00_-;\-&quot;$&quot;* #,##0.00_-;_-&quot;$&quot;* &quot;-&quot;??_-;_-@_-"/>
    <numFmt numFmtId="165" formatCode="yyyy/mm/dd"/>
    <numFmt numFmtId="166" formatCode="_(* #,##0.00_);_(* \(#,##0.00\);_(* &quot;-&quot;??_);_(@_)"/>
    <numFmt numFmtId="167" formatCode="_(&quot;$&quot;* #,##0.00_);_(&quot;$&quot;* \(#,##0.00\);_(&quot;$&quot;* &quot;-&quot;??_);_(@_)"/>
    <numFmt numFmtId="168" formatCode="_-&quot;$&quot;\ * #,##0.00_-;\-&quot;$&quot;\ * #,##0.00_-;_-&quot;$&quot;\ * &quot;-&quot;_-;_-@_-"/>
  </numFmts>
  <fonts count="10" x14ac:knownFonts="1">
    <font>
      <sz val="11"/>
      <color theme="1"/>
      <name val="Calibri"/>
      <family val="2"/>
      <scheme val="minor"/>
    </font>
    <font>
      <sz val="11"/>
      <color theme="1"/>
      <name val="Calibri"/>
      <family val="2"/>
      <scheme val="minor"/>
    </font>
    <font>
      <sz val="11"/>
      <color theme="1" tint="0.14999847407452621"/>
      <name val="Calibri"/>
      <family val="2"/>
      <scheme val="minor"/>
    </font>
    <font>
      <sz val="11"/>
      <name val="Calibri"/>
      <family val="2"/>
      <scheme val="minor"/>
    </font>
    <font>
      <sz val="11"/>
      <color rgb="FFFF0000"/>
      <name val="Calibri"/>
      <family val="2"/>
      <scheme val="minor"/>
    </font>
    <font>
      <u/>
      <sz val="11"/>
      <color theme="10"/>
      <name val="Calibri"/>
      <family val="2"/>
      <scheme val="minor"/>
    </font>
    <font>
      <sz val="10"/>
      <name val="Arial Narrow"/>
      <family val="2"/>
    </font>
    <font>
      <sz val="10"/>
      <color rgb="FFFF0000"/>
      <name val="Arial Narrow"/>
      <family val="2"/>
    </font>
    <font>
      <sz val="10"/>
      <color theme="1"/>
      <name val="Arial Narrow"/>
      <family val="2"/>
    </font>
    <font>
      <sz val="9"/>
      <color rgb="FF000000"/>
      <name val="Arial"/>
      <family val="2"/>
    </font>
  </fonts>
  <fills count="15">
    <fill>
      <patternFill patternType="none"/>
    </fill>
    <fill>
      <patternFill patternType="gray125"/>
    </fill>
    <fill>
      <patternFill patternType="solid">
        <fgColor theme="0"/>
        <bgColor indexed="64"/>
      </patternFill>
    </fill>
    <fill>
      <patternFill patternType="solid">
        <fgColor indexed="9"/>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FFFF"/>
        <bgColor rgb="FF000000"/>
      </patternFill>
    </fill>
    <fill>
      <patternFill patternType="solid">
        <fgColor rgb="FFFFFFFF"/>
      </patternFill>
    </fill>
    <fill>
      <patternFill patternType="solid">
        <fgColor rgb="FFFFFFFF"/>
        <bgColor theme="4" tint="0.79998168889431442"/>
      </patternFill>
    </fill>
    <fill>
      <patternFill patternType="solid">
        <fgColor rgb="FFFFFFFF"/>
        <bgColor theme="8" tint="0.79998168889431442"/>
      </patternFill>
    </fill>
    <fill>
      <patternFill patternType="solid">
        <fgColor rgb="FFFFFF00"/>
        <bgColor indexed="64"/>
      </patternFill>
    </fill>
    <fill>
      <patternFill patternType="solid">
        <fgColor theme="0"/>
        <bgColor theme="4" tint="0.79998168889431442"/>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4" tint="0.39997558519241921"/>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4" tint="0.39997558519241921"/>
      </bottom>
      <diagonal/>
    </border>
    <border>
      <left/>
      <right style="thin">
        <color indexed="64"/>
      </right>
      <top/>
      <bottom/>
      <diagonal/>
    </border>
    <border>
      <left/>
      <right style="thin">
        <color indexed="64"/>
      </right>
      <top style="thin">
        <color indexed="64"/>
      </top>
      <bottom/>
      <diagonal/>
    </border>
    <border>
      <left style="thin">
        <color theme="8"/>
      </left>
      <right style="thin">
        <color theme="8"/>
      </right>
      <top style="thin">
        <color theme="8"/>
      </top>
      <bottom style="thin">
        <color theme="8"/>
      </bottom>
      <diagonal/>
    </border>
  </borders>
  <cellStyleXfs count="18">
    <xf numFmtId="0" fontId="0" fillId="0" borderId="0"/>
    <xf numFmtId="42" fontId="1" fillId="0" borderId="0" applyFont="0" applyFill="0" applyBorder="0" applyAlignment="0" applyProtection="0"/>
    <xf numFmtId="0" fontId="1" fillId="0" borderId="0"/>
    <xf numFmtId="0" fontId="1" fillId="0" borderId="0"/>
    <xf numFmtId="42"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5" fillId="0" borderId="0" applyNumberFormat="0" applyFill="0" applyBorder="0" applyAlignment="0" applyProtection="0"/>
    <xf numFmtId="0" fontId="1" fillId="0" borderId="0"/>
    <xf numFmtId="42" fontId="1" fillId="0" borderId="0" applyFont="0" applyFill="0" applyBorder="0" applyAlignment="0" applyProtection="0"/>
    <xf numFmtId="41" fontId="1" fillId="0" borderId="0" applyFont="0" applyFill="0" applyBorder="0" applyAlignment="0" applyProtection="0"/>
    <xf numFmtId="0" fontId="5" fillId="0" borderId="0" applyNumberFormat="0" applyFill="0" applyBorder="0" applyAlignment="0" applyProtection="0"/>
    <xf numFmtId="166" fontId="1" fillId="0" borderId="0" applyFont="0" applyFill="0" applyBorder="0" applyAlignment="0" applyProtection="0"/>
  </cellStyleXfs>
  <cellXfs count="277">
    <xf numFmtId="0" fontId="0" fillId="0" borderId="0" xfId="0"/>
    <xf numFmtId="0" fontId="0" fillId="2" borderId="1" xfId="0" applyFill="1" applyBorder="1" applyAlignment="1">
      <alignment horizontal="center"/>
    </xf>
    <xf numFmtId="42" fontId="0" fillId="2" borderId="1" xfId="0" applyNumberFormat="1" applyFill="1" applyBorder="1" applyAlignment="1">
      <alignment horizontal="center"/>
    </xf>
    <xf numFmtId="0" fontId="0" fillId="2" borderId="1" xfId="0" applyFill="1" applyBorder="1" applyAlignment="1">
      <alignment horizontal="center" wrapText="1"/>
    </xf>
    <xf numFmtId="0" fontId="0" fillId="2" borderId="2" xfId="0" applyFill="1" applyBorder="1" applyAlignment="1">
      <alignment horizontal="center"/>
    </xf>
    <xf numFmtId="0" fontId="0" fillId="0" borderId="0" xfId="0" pivotButton="1"/>
    <xf numFmtId="0" fontId="0" fillId="0" borderId="0" xfId="0" applyAlignment="1">
      <alignment horizontal="left"/>
    </xf>
    <xf numFmtId="0" fontId="0" fillId="2" borderId="2" xfId="0" applyFill="1" applyBorder="1" applyAlignment="1">
      <alignment horizontal="center" wrapText="1"/>
    </xf>
    <xf numFmtId="42" fontId="0" fillId="2" borderId="1" xfId="0" applyNumberFormat="1" applyFill="1" applyBorder="1" applyAlignment="1">
      <alignment horizontal="center" wrapText="1"/>
    </xf>
    <xf numFmtId="14" fontId="0" fillId="2" borderId="1" xfId="0" applyNumberFormat="1" applyFill="1" applyBorder="1" applyAlignment="1">
      <alignment horizontal="center" wrapText="1"/>
    </xf>
    <xf numFmtId="1" fontId="0" fillId="2" borderId="1" xfId="0" applyNumberFormat="1" applyFill="1" applyBorder="1" applyAlignment="1">
      <alignment horizontal="center" wrapText="1"/>
    </xf>
    <xf numFmtId="42" fontId="0" fillId="2" borderId="1" xfId="1" applyFont="1" applyFill="1" applyBorder="1" applyAlignment="1">
      <alignment horizontal="center" wrapText="1"/>
    </xf>
    <xf numFmtId="0" fontId="0" fillId="2" borderId="3" xfId="0" applyFill="1" applyBorder="1" applyAlignment="1">
      <alignment horizontal="center" wrapText="1"/>
    </xf>
    <xf numFmtId="0" fontId="0" fillId="2" borderId="7" xfId="0" applyFill="1" applyBorder="1" applyAlignment="1">
      <alignment horizontal="center" wrapText="1"/>
    </xf>
    <xf numFmtId="0" fontId="0" fillId="2" borderId="4" xfId="0" applyFill="1" applyBorder="1" applyAlignment="1">
      <alignment horizontal="center"/>
    </xf>
    <xf numFmtId="0" fontId="0" fillId="0" borderId="1" xfId="0" applyBorder="1"/>
    <xf numFmtId="0" fontId="0" fillId="0" borderId="3" xfId="0" applyBorder="1"/>
    <xf numFmtId="0" fontId="0" fillId="0" borderId="6" xfId="0" applyBorder="1"/>
    <xf numFmtId="14" fontId="0" fillId="2" borderId="1" xfId="0" applyNumberFormat="1" applyFill="1" applyBorder="1" applyAlignment="1">
      <alignment horizontal="center"/>
    </xf>
    <xf numFmtId="0" fontId="0" fillId="0" borderId="5" xfId="0" applyBorder="1"/>
    <xf numFmtId="0" fontId="0" fillId="7" borderId="1" xfId="0" applyFill="1" applyBorder="1" applyAlignment="1">
      <alignment horizontal="center"/>
    </xf>
    <xf numFmtId="0" fontId="0" fillId="0" borderId="0" xfId="0" applyAlignment="1">
      <alignment horizontal="center"/>
    </xf>
    <xf numFmtId="0" fontId="0" fillId="7" borderId="0" xfId="0" applyFill="1" applyAlignment="1">
      <alignment horizontal="center"/>
    </xf>
    <xf numFmtId="165" fontId="0" fillId="2" borderId="1" xfId="0" applyNumberFormat="1" applyFill="1" applyBorder="1" applyAlignment="1" applyProtection="1">
      <alignment horizontal="center" vertical="center" wrapText="1"/>
      <protection locked="0"/>
    </xf>
    <xf numFmtId="165" fontId="0" fillId="2" borderId="1" xfId="0" applyNumberFormat="1" applyFill="1" applyBorder="1" applyAlignment="1" applyProtection="1">
      <alignment horizontal="center" vertical="center"/>
      <protection locked="0"/>
    </xf>
    <xf numFmtId="0" fontId="3" fillId="2" borderId="1" xfId="0" applyFont="1" applyFill="1" applyBorder="1" applyAlignment="1">
      <alignment horizontal="center"/>
    </xf>
    <xf numFmtId="0" fontId="0" fillId="2" borderId="1" xfId="0" applyFill="1" applyBorder="1" applyAlignment="1">
      <alignment horizontal="right" wrapText="1"/>
    </xf>
    <xf numFmtId="0" fontId="0" fillId="2" borderId="1" xfId="0" applyFill="1" applyBorder="1" applyAlignment="1">
      <alignment horizontal="right"/>
    </xf>
    <xf numFmtId="1" fontId="0" fillId="2" borderId="1" xfId="0" applyNumberFormat="1" applyFill="1" applyBorder="1" applyAlignment="1">
      <alignment horizontal="right"/>
    </xf>
    <xf numFmtId="42" fontId="0" fillId="2" borderId="1" xfId="0" applyNumberFormat="1" applyFill="1" applyBorder="1" applyAlignment="1">
      <alignment horizontal="right"/>
    </xf>
    <xf numFmtId="14" fontId="0" fillId="2" borderId="1" xfId="0" applyNumberFormat="1" applyFill="1" applyBorder="1" applyAlignment="1">
      <alignment horizontal="right"/>
    </xf>
    <xf numFmtId="0" fontId="0" fillId="2" borderId="3" xfId="0" applyFill="1" applyBorder="1" applyAlignment="1">
      <alignment horizontal="right"/>
    </xf>
    <xf numFmtId="0" fontId="2" fillId="6" borderId="4" xfId="13" applyFont="1" applyFill="1" applyBorder="1" applyAlignment="1">
      <alignment horizontal="center" vertical="center" wrapText="1"/>
    </xf>
    <xf numFmtId="0" fontId="2" fillId="4" borderId="4" xfId="13" applyFont="1" applyFill="1" applyBorder="1" applyAlignment="1">
      <alignment horizontal="center" vertical="center" wrapText="1"/>
    </xf>
    <xf numFmtId="0" fontId="2" fillId="4" borderId="5" xfId="13" applyFont="1" applyFill="1" applyBorder="1" applyAlignment="1">
      <alignment horizontal="center" vertical="center" wrapText="1"/>
    </xf>
    <xf numFmtId="42" fontId="2" fillId="4" borderId="5" xfId="13" applyNumberFormat="1" applyFont="1" applyFill="1" applyBorder="1" applyAlignment="1">
      <alignment horizontal="center" vertical="center" wrapText="1"/>
    </xf>
    <xf numFmtId="14" fontId="2" fillId="4" borderId="5" xfId="13" applyNumberFormat="1" applyFont="1" applyFill="1" applyBorder="1" applyAlignment="1">
      <alignment horizontal="center" vertical="center" wrapText="1"/>
    </xf>
    <xf numFmtId="0" fontId="2" fillId="5" borderId="5" xfId="13" applyFont="1" applyFill="1" applyBorder="1" applyAlignment="1">
      <alignment horizontal="center" vertical="center" wrapText="1"/>
    </xf>
    <xf numFmtId="42" fontId="2" fillId="4" borderId="5" xfId="14" applyFont="1" applyFill="1" applyBorder="1" applyAlignment="1">
      <alignment horizontal="center" vertical="center" wrapText="1"/>
    </xf>
    <xf numFmtId="14" fontId="2" fillId="4" borderId="8" xfId="13" applyNumberFormat="1" applyFont="1" applyFill="1" applyBorder="1" applyAlignment="1">
      <alignment horizontal="center" vertical="center" wrapText="1"/>
    </xf>
    <xf numFmtId="0" fontId="2" fillId="4" borderId="6" xfId="13" applyFont="1" applyFill="1" applyBorder="1" applyAlignment="1">
      <alignment horizontal="center" vertical="center" wrapText="1"/>
    </xf>
    <xf numFmtId="0" fontId="2" fillId="0" borderId="0" xfId="13" applyFont="1" applyAlignment="1">
      <alignment horizontal="center" vertical="center" wrapText="1"/>
    </xf>
    <xf numFmtId="0" fontId="1" fillId="8" borderId="4" xfId="13" applyFill="1" applyBorder="1" applyAlignment="1">
      <alignment horizontal="center"/>
    </xf>
    <xf numFmtId="0" fontId="1" fillId="8" borderId="2" xfId="13" applyFill="1" applyBorder="1" applyAlignment="1">
      <alignment horizontal="center"/>
    </xf>
    <xf numFmtId="0" fontId="1" fillId="8" borderId="2" xfId="13" applyFill="1" applyBorder="1" applyAlignment="1">
      <alignment horizontal="center" wrapText="1"/>
    </xf>
    <xf numFmtId="0" fontId="1" fillId="8" borderId="1" xfId="13" applyFill="1" applyBorder="1" applyAlignment="1">
      <alignment horizontal="center" wrapText="1"/>
    </xf>
    <xf numFmtId="165" fontId="1" fillId="10" borderId="1" xfId="13" applyNumberFormat="1" applyFill="1" applyBorder="1" applyAlignment="1" applyProtection="1">
      <alignment horizontal="center" vertical="center" wrapText="1"/>
      <protection locked="0"/>
    </xf>
    <xf numFmtId="42" fontId="1" fillId="8" borderId="1" xfId="13" applyNumberFormat="1" applyFill="1" applyBorder="1" applyAlignment="1">
      <alignment horizontal="center" wrapText="1"/>
    </xf>
    <xf numFmtId="0" fontId="1" fillId="8" borderId="1" xfId="13" applyFill="1" applyBorder="1" applyAlignment="1">
      <alignment horizontal="center"/>
    </xf>
    <xf numFmtId="14" fontId="1" fillId="8" borderId="1" xfId="13" applyNumberFormat="1" applyFill="1" applyBorder="1" applyAlignment="1">
      <alignment horizontal="center" wrapText="1"/>
    </xf>
    <xf numFmtId="1" fontId="1" fillId="8" borderId="1" xfId="13" applyNumberFormat="1" applyFill="1" applyBorder="1" applyAlignment="1">
      <alignment horizontal="center" wrapText="1"/>
    </xf>
    <xf numFmtId="42" fontId="0" fillId="8" borderId="1" xfId="14" applyFont="1" applyFill="1" applyBorder="1" applyAlignment="1">
      <alignment horizontal="center" wrapText="1"/>
    </xf>
    <xf numFmtId="0" fontId="1" fillId="8" borderId="3" xfId="13" applyFill="1" applyBorder="1" applyAlignment="1">
      <alignment horizontal="center" wrapText="1"/>
    </xf>
    <xf numFmtId="0" fontId="1" fillId="0" borderId="0" xfId="13" applyAlignment="1">
      <alignment horizontal="center" wrapText="1"/>
    </xf>
    <xf numFmtId="0" fontId="1" fillId="0" borderId="0" xfId="13" applyAlignment="1">
      <alignment horizontal="center"/>
    </xf>
    <xf numFmtId="165" fontId="1" fillId="10" borderId="1" xfId="13" applyNumberFormat="1" applyFill="1" applyBorder="1" applyAlignment="1" applyProtection="1">
      <alignment horizontal="center" vertical="center"/>
      <protection locked="0"/>
    </xf>
    <xf numFmtId="42" fontId="1" fillId="8" borderId="1" xfId="13" applyNumberFormat="1" applyFill="1" applyBorder="1" applyAlignment="1">
      <alignment horizontal="center"/>
    </xf>
    <xf numFmtId="0" fontId="1" fillId="8" borderId="1" xfId="13" applyFill="1" applyBorder="1" applyAlignment="1">
      <alignment horizontal="center" vertical="center"/>
    </xf>
    <xf numFmtId="1" fontId="1" fillId="8" borderId="1" xfId="13" applyNumberFormat="1" applyFill="1" applyBorder="1" applyAlignment="1">
      <alignment horizontal="center"/>
    </xf>
    <xf numFmtId="42" fontId="0" fillId="8" borderId="1" xfId="14" applyFont="1" applyFill="1" applyBorder="1" applyAlignment="1">
      <alignment horizontal="center"/>
    </xf>
    <xf numFmtId="0" fontId="1" fillId="8" borderId="3" xfId="13" applyFill="1" applyBorder="1" applyAlignment="1">
      <alignment horizontal="center"/>
    </xf>
    <xf numFmtId="14" fontId="1" fillId="8" borderId="1" xfId="13" applyNumberFormat="1" applyFill="1" applyBorder="1" applyAlignment="1">
      <alignment horizontal="center"/>
    </xf>
    <xf numFmtId="0" fontId="1" fillId="0" borderId="4" xfId="13" applyBorder="1" applyAlignment="1">
      <alignment horizontal="center"/>
    </xf>
    <xf numFmtId="0" fontId="1" fillId="0" borderId="2" xfId="13" applyBorder="1" applyAlignment="1">
      <alignment horizontal="center"/>
    </xf>
    <xf numFmtId="0" fontId="1" fillId="0" borderId="2" xfId="13" applyBorder="1" applyAlignment="1">
      <alignment horizontal="center" wrapText="1"/>
    </xf>
    <xf numFmtId="0" fontId="1" fillId="0" borderId="1" xfId="13" applyBorder="1" applyAlignment="1">
      <alignment horizontal="center" wrapText="1"/>
    </xf>
    <xf numFmtId="165" fontId="1" fillId="0" borderId="1" xfId="13" applyNumberFormat="1" applyBorder="1" applyAlignment="1" applyProtection="1">
      <alignment horizontal="center" vertical="center" wrapText="1"/>
      <protection locked="0"/>
    </xf>
    <xf numFmtId="42" fontId="1" fillId="0" borderId="1" xfId="13" applyNumberFormat="1" applyBorder="1" applyAlignment="1">
      <alignment horizontal="center" wrapText="1"/>
    </xf>
    <xf numFmtId="1" fontId="1" fillId="0" borderId="1" xfId="13" applyNumberFormat="1" applyBorder="1" applyAlignment="1">
      <alignment horizontal="center" wrapText="1"/>
    </xf>
    <xf numFmtId="42" fontId="0" fillId="0" borderId="1" xfId="14" applyFont="1" applyFill="1" applyBorder="1" applyAlignment="1">
      <alignment horizontal="center" wrapText="1"/>
    </xf>
    <xf numFmtId="0" fontId="1" fillId="0" borderId="3" xfId="13" applyBorder="1" applyAlignment="1">
      <alignment horizontal="center" wrapText="1"/>
    </xf>
    <xf numFmtId="14" fontId="1" fillId="0" borderId="1" xfId="13" applyNumberFormat="1" applyBorder="1" applyAlignment="1">
      <alignment horizontal="center" wrapText="1"/>
    </xf>
    <xf numFmtId="0" fontId="0" fillId="8" borderId="1" xfId="15" applyNumberFormat="1" applyFont="1" applyFill="1" applyBorder="1" applyAlignment="1">
      <alignment horizontal="center" wrapText="1"/>
    </xf>
    <xf numFmtId="0" fontId="1" fillId="8" borderId="7" xfId="13" applyFill="1" applyBorder="1" applyAlignment="1">
      <alignment horizontal="center" wrapText="1"/>
    </xf>
    <xf numFmtId="165" fontId="1" fillId="8" borderId="1" xfId="13" applyNumberFormat="1" applyFill="1" applyBorder="1" applyAlignment="1" applyProtection="1">
      <alignment horizontal="center" vertical="center" wrapText="1"/>
      <protection locked="0"/>
    </xf>
    <xf numFmtId="42" fontId="1" fillId="8" borderId="1" xfId="14" applyFont="1" applyFill="1" applyBorder="1" applyAlignment="1">
      <alignment horizontal="center" wrapText="1"/>
    </xf>
    <xf numFmtId="0" fontId="1" fillId="8" borderId="7" xfId="13" applyFill="1" applyBorder="1" applyAlignment="1">
      <alignment horizontal="center"/>
    </xf>
    <xf numFmtId="165" fontId="1" fillId="8" borderId="1" xfId="13" applyNumberFormat="1" applyFill="1" applyBorder="1" applyAlignment="1" applyProtection="1">
      <alignment horizontal="center" vertical="center"/>
      <protection locked="0"/>
    </xf>
    <xf numFmtId="0" fontId="1" fillId="8" borderId="1" xfId="13" applyFill="1" applyBorder="1" applyAlignment="1">
      <alignment horizontal="center" vertical="center" wrapText="1"/>
    </xf>
    <xf numFmtId="0" fontId="1" fillId="2" borderId="4" xfId="13" applyFill="1" applyBorder="1" applyAlignment="1">
      <alignment horizontal="center"/>
    </xf>
    <xf numFmtId="0" fontId="1" fillId="2" borderId="2" xfId="13" applyFill="1" applyBorder="1" applyAlignment="1">
      <alignment horizontal="center"/>
    </xf>
    <xf numFmtId="0" fontId="1" fillId="2" borderId="2" xfId="13" applyFill="1" applyBorder="1" applyAlignment="1">
      <alignment horizontal="center" wrapText="1"/>
    </xf>
    <xf numFmtId="0" fontId="1" fillId="2" borderId="1" xfId="13" applyFill="1" applyBorder="1" applyAlignment="1">
      <alignment horizontal="center" wrapText="1"/>
    </xf>
    <xf numFmtId="0" fontId="1" fillId="2" borderId="7" xfId="13" applyFill="1" applyBorder="1" applyAlignment="1">
      <alignment horizontal="center" wrapText="1"/>
    </xf>
    <xf numFmtId="165" fontId="1" fillId="2" borderId="1" xfId="13" applyNumberFormat="1" applyFill="1" applyBorder="1" applyAlignment="1" applyProtection="1">
      <alignment horizontal="center" vertical="center" wrapText="1"/>
      <protection locked="0"/>
    </xf>
    <xf numFmtId="0" fontId="1" fillId="2" borderId="1" xfId="13" applyFill="1" applyBorder="1" applyAlignment="1">
      <alignment horizontal="center"/>
    </xf>
    <xf numFmtId="42" fontId="1" fillId="2" borderId="1" xfId="13" applyNumberFormat="1" applyFill="1" applyBorder="1" applyAlignment="1">
      <alignment horizontal="center" wrapText="1"/>
    </xf>
    <xf numFmtId="0" fontId="1" fillId="2" borderId="1" xfId="13" applyFill="1" applyBorder="1" applyAlignment="1">
      <alignment horizontal="center" vertical="center" wrapText="1"/>
    </xf>
    <xf numFmtId="1" fontId="1" fillId="2" borderId="1" xfId="13" applyNumberFormat="1" applyFill="1" applyBorder="1" applyAlignment="1">
      <alignment horizontal="center" wrapText="1"/>
    </xf>
    <xf numFmtId="14" fontId="1" fillId="2" borderId="1" xfId="13" applyNumberFormat="1" applyFill="1" applyBorder="1" applyAlignment="1">
      <alignment horizontal="center" wrapText="1"/>
    </xf>
    <xf numFmtId="0" fontId="1" fillId="2" borderId="3" xfId="13" applyFill="1" applyBorder="1" applyAlignment="1">
      <alignment horizontal="center" wrapText="1"/>
    </xf>
    <xf numFmtId="0" fontId="1" fillId="2" borderId="0" xfId="13" applyFill="1" applyAlignment="1">
      <alignment horizontal="center" wrapText="1"/>
    </xf>
    <xf numFmtId="0" fontId="3" fillId="8" borderId="1" xfId="13" applyFont="1" applyFill="1" applyBorder="1" applyAlignment="1">
      <alignment horizontal="center" wrapText="1"/>
    </xf>
    <xf numFmtId="0" fontId="1" fillId="8" borderId="12" xfId="13" applyFill="1" applyBorder="1" applyAlignment="1">
      <alignment horizontal="center"/>
    </xf>
    <xf numFmtId="0" fontId="1" fillId="8" borderId="13" xfId="13" applyFill="1" applyBorder="1" applyAlignment="1">
      <alignment horizontal="center"/>
    </xf>
    <xf numFmtId="0" fontId="1" fillId="8" borderId="13" xfId="13" applyFill="1" applyBorder="1" applyAlignment="1">
      <alignment horizontal="center" wrapText="1"/>
    </xf>
    <xf numFmtId="165" fontId="1" fillId="8" borderId="7" xfId="13" applyNumberFormat="1" applyFill="1" applyBorder="1" applyAlignment="1" applyProtection="1">
      <alignment horizontal="center" vertical="center"/>
      <protection locked="0"/>
    </xf>
    <xf numFmtId="42" fontId="1" fillId="8" borderId="7" xfId="13" applyNumberFormat="1" applyFill="1" applyBorder="1" applyAlignment="1">
      <alignment horizontal="center"/>
    </xf>
    <xf numFmtId="165" fontId="1" fillId="10" borderId="7" xfId="13" applyNumberFormat="1" applyFill="1" applyBorder="1" applyAlignment="1" applyProtection="1">
      <alignment horizontal="center" vertical="center" wrapText="1"/>
      <protection locked="0"/>
    </xf>
    <xf numFmtId="1" fontId="1" fillId="8" borderId="7" xfId="13" applyNumberFormat="1" applyFill="1" applyBorder="1" applyAlignment="1">
      <alignment horizontal="center"/>
    </xf>
    <xf numFmtId="14" fontId="1" fillId="8" borderId="7" xfId="13" applyNumberFormat="1" applyFill="1" applyBorder="1" applyAlignment="1">
      <alignment horizontal="center"/>
    </xf>
    <xf numFmtId="42" fontId="1" fillId="8" borderId="7" xfId="14" applyFont="1" applyFill="1" applyBorder="1" applyAlignment="1">
      <alignment horizontal="center"/>
    </xf>
    <xf numFmtId="0" fontId="1" fillId="8" borderId="10" xfId="13" applyFill="1" applyBorder="1" applyAlignment="1">
      <alignment horizontal="center"/>
    </xf>
    <xf numFmtId="42" fontId="1" fillId="8" borderId="1" xfId="13" applyNumberFormat="1" applyFill="1" applyBorder="1" applyAlignment="1">
      <alignment horizontal="center" vertical="center"/>
    </xf>
    <xf numFmtId="0" fontId="1" fillId="0" borderId="4" xfId="13" applyBorder="1" applyAlignment="1">
      <alignment horizontal="center" wrapText="1"/>
    </xf>
    <xf numFmtId="0" fontId="1" fillId="0" borderId="5" xfId="13" applyBorder="1" applyAlignment="1">
      <alignment horizontal="center"/>
    </xf>
    <xf numFmtId="0" fontId="1" fillId="0" borderId="5" xfId="13" applyBorder="1" applyAlignment="1">
      <alignment horizontal="center" wrapText="1"/>
    </xf>
    <xf numFmtId="0" fontId="1" fillId="0" borderId="8" xfId="13" applyBorder="1" applyAlignment="1">
      <alignment horizontal="center"/>
    </xf>
    <xf numFmtId="14" fontId="1" fillId="0" borderId="5" xfId="13" applyNumberFormat="1" applyBorder="1" applyAlignment="1">
      <alignment horizontal="center"/>
    </xf>
    <xf numFmtId="165" fontId="1" fillId="0" borderId="5" xfId="13" applyNumberFormat="1" applyBorder="1" applyAlignment="1" applyProtection="1">
      <alignment horizontal="center" vertical="center"/>
      <protection locked="0"/>
    </xf>
    <xf numFmtId="0" fontId="1" fillId="0" borderId="8" xfId="13" applyBorder="1" applyAlignment="1">
      <alignment horizontal="center" wrapText="1"/>
    </xf>
    <xf numFmtId="42" fontId="1" fillId="0" borderId="5" xfId="13" applyNumberFormat="1" applyBorder="1" applyAlignment="1">
      <alignment horizontal="center"/>
    </xf>
    <xf numFmtId="165" fontId="1" fillId="3" borderId="5" xfId="13" applyNumberFormat="1" applyFill="1" applyBorder="1" applyAlignment="1" applyProtection="1">
      <alignment horizontal="center" vertical="center" wrapText="1"/>
      <protection locked="0"/>
    </xf>
    <xf numFmtId="0" fontId="1" fillId="0" borderId="5" xfId="13" applyBorder="1" applyAlignment="1">
      <alignment horizontal="center" vertical="center"/>
    </xf>
    <xf numFmtId="14" fontId="1" fillId="0" borderId="5" xfId="13" applyNumberFormat="1" applyBorder="1" applyAlignment="1">
      <alignment horizontal="center" wrapText="1"/>
    </xf>
    <xf numFmtId="1" fontId="1" fillId="0" borderId="5" xfId="13" applyNumberFormat="1" applyBorder="1" applyAlignment="1">
      <alignment horizontal="center"/>
    </xf>
    <xf numFmtId="165" fontId="1" fillId="0" borderId="5" xfId="13" applyNumberFormat="1" applyBorder="1" applyAlignment="1" applyProtection="1">
      <alignment horizontal="center" vertical="center" wrapText="1"/>
      <protection locked="0"/>
    </xf>
    <xf numFmtId="42" fontId="0" fillId="0" borderId="5" xfId="14" applyFont="1" applyFill="1" applyBorder="1" applyAlignment="1">
      <alignment horizontal="center"/>
    </xf>
    <xf numFmtId="42" fontId="1" fillId="0" borderId="5" xfId="13" applyNumberFormat="1" applyBorder="1" applyAlignment="1">
      <alignment horizontal="center" vertical="center"/>
    </xf>
    <xf numFmtId="42" fontId="1" fillId="0" borderId="5" xfId="13" applyNumberFormat="1" applyBorder="1" applyAlignment="1">
      <alignment horizontal="center" wrapText="1"/>
    </xf>
    <xf numFmtId="0" fontId="1" fillId="0" borderId="6" xfId="13" applyBorder="1" applyAlignment="1">
      <alignment horizontal="center"/>
    </xf>
    <xf numFmtId="0" fontId="1" fillId="0" borderId="1" xfId="13" applyBorder="1" applyAlignment="1">
      <alignment horizontal="center"/>
    </xf>
    <xf numFmtId="0" fontId="1" fillId="0" borderId="7" xfId="13" applyBorder="1" applyAlignment="1">
      <alignment horizontal="center"/>
    </xf>
    <xf numFmtId="14" fontId="1" fillId="0" borderId="1" xfId="13" applyNumberFormat="1" applyBorder="1" applyAlignment="1">
      <alignment horizontal="center"/>
    </xf>
    <xf numFmtId="165" fontId="1" fillId="0" borderId="1" xfId="13" applyNumberFormat="1" applyBorder="1" applyAlignment="1" applyProtection="1">
      <alignment horizontal="center" vertical="center"/>
      <protection locked="0"/>
    </xf>
    <xf numFmtId="0" fontId="1" fillId="0" borderId="7" xfId="13" applyBorder="1" applyAlignment="1">
      <alignment horizontal="center" wrapText="1"/>
    </xf>
    <xf numFmtId="42" fontId="1" fillId="0" borderId="1" xfId="13" applyNumberFormat="1" applyBorder="1" applyAlignment="1">
      <alignment horizontal="center"/>
    </xf>
    <xf numFmtId="165" fontId="1" fillId="3" borderId="1" xfId="13" applyNumberFormat="1" applyFill="1" applyBorder="1" applyAlignment="1" applyProtection="1">
      <alignment horizontal="center" vertical="center" wrapText="1"/>
      <protection locked="0"/>
    </xf>
    <xf numFmtId="0" fontId="1" fillId="0" borderId="1" xfId="13" applyBorder="1" applyAlignment="1">
      <alignment horizontal="center" vertical="center"/>
    </xf>
    <xf numFmtId="1" fontId="1" fillId="0" borderId="1" xfId="13" applyNumberFormat="1" applyBorder="1" applyAlignment="1">
      <alignment horizontal="center"/>
    </xf>
    <xf numFmtId="42" fontId="0" fillId="0" borderId="1" xfId="14" applyFont="1" applyFill="1" applyBorder="1" applyAlignment="1">
      <alignment horizontal="center"/>
    </xf>
    <xf numFmtId="42" fontId="1" fillId="0" borderId="1" xfId="13" applyNumberFormat="1" applyBorder="1" applyAlignment="1">
      <alignment horizontal="center" vertical="center"/>
    </xf>
    <xf numFmtId="0" fontId="1" fillId="0" borderId="3" xfId="13" applyBorder="1" applyAlignment="1">
      <alignment horizontal="center"/>
    </xf>
    <xf numFmtId="42" fontId="1" fillId="8" borderId="1" xfId="14" applyFont="1" applyFill="1" applyBorder="1" applyAlignment="1">
      <alignment horizontal="center"/>
    </xf>
    <xf numFmtId="0" fontId="3" fillId="8" borderId="4" xfId="13" applyFont="1" applyFill="1" applyBorder="1" applyAlignment="1">
      <alignment horizontal="center"/>
    </xf>
    <xf numFmtId="0" fontId="3" fillId="8" borderId="2" xfId="13" applyFont="1" applyFill="1" applyBorder="1" applyAlignment="1">
      <alignment horizontal="center"/>
    </xf>
    <xf numFmtId="0" fontId="3" fillId="8" borderId="1" xfId="13" applyFont="1" applyFill="1" applyBorder="1" applyAlignment="1">
      <alignment horizontal="center"/>
    </xf>
    <xf numFmtId="0" fontId="3" fillId="8" borderId="1" xfId="16" applyFont="1" applyFill="1" applyBorder="1" applyAlignment="1">
      <alignment horizontal="center"/>
    </xf>
    <xf numFmtId="42" fontId="3" fillId="8" borderId="1" xfId="13" applyNumberFormat="1" applyFont="1" applyFill="1" applyBorder="1" applyAlignment="1">
      <alignment horizontal="center"/>
    </xf>
    <xf numFmtId="14" fontId="3" fillId="8" borderId="1" xfId="13" applyNumberFormat="1" applyFont="1" applyFill="1" applyBorder="1" applyAlignment="1">
      <alignment horizontal="center" wrapText="1"/>
    </xf>
    <xf numFmtId="167" fontId="3" fillId="8" borderId="1" xfId="13" applyNumberFormat="1" applyFont="1" applyFill="1" applyBorder="1" applyAlignment="1">
      <alignment horizontal="center"/>
    </xf>
    <xf numFmtId="42" fontId="1" fillId="0" borderId="1" xfId="14" applyFont="1" applyFill="1" applyBorder="1" applyAlignment="1">
      <alignment horizontal="center"/>
    </xf>
    <xf numFmtId="0" fontId="3" fillId="8" borderId="1" xfId="13" applyFont="1" applyFill="1" applyBorder="1"/>
    <xf numFmtId="0" fontId="1" fillId="8" borderId="1" xfId="13" applyFill="1" applyBorder="1"/>
    <xf numFmtId="42" fontId="1" fillId="8" borderId="1" xfId="13" applyNumberFormat="1" applyFill="1" applyBorder="1" applyAlignment="1">
      <alignment horizontal="left" vertical="top" wrapText="1"/>
    </xf>
    <xf numFmtId="168" fontId="3" fillId="8" borderId="1" xfId="13" applyNumberFormat="1" applyFont="1" applyFill="1" applyBorder="1" applyAlignment="1">
      <alignment horizontal="center"/>
    </xf>
    <xf numFmtId="0" fontId="6" fillId="8" borderId="1" xfId="13" applyFont="1" applyFill="1" applyBorder="1" applyAlignment="1">
      <alignment horizontal="center"/>
    </xf>
    <xf numFmtId="167" fontId="3" fillId="8" borderId="1" xfId="13" applyNumberFormat="1" applyFont="1" applyFill="1" applyBorder="1" applyAlignment="1">
      <alignment horizontal="right" indent="2"/>
    </xf>
    <xf numFmtId="167" fontId="3" fillId="8" borderId="1" xfId="14" applyNumberFormat="1" applyFont="1" applyFill="1" applyBorder="1" applyAlignment="1">
      <alignment horizontal="right"/>
    </xf>
    <xf numFmtId="0" fontId="8" fillId="8" borderId="1" xfId="13" applyFont="1" applyFill="1" applyBorder="1" applyAlignment="1">
      <alignment horizontal="center"/>
    </xf>
    <xf numFmtId="0" fontId="8" fillId="8" borderId="1" xfId="13" applyFont="1" applyFill="1" applyBorder="1" applyAlignment="1">
      <alignment horizontal="center" wrapText="1"/>
    </xf>
    <xf numFmtId="42" fontId="1" fillId="8" borderId="1" xfId="13" applyNumberFormat="1" applyFill="1" applyBorder="1" applyAlignment="1">
      <alignment horizontal="center" vertical="top" wrapText="1"/>
    </xf>
    <xf numFmtId="0" fontId="1" fillId="8" borderId="7" xfId="13" applyFill="1" applyBorder="1"/>
    <xf numFmtId="0" fontId="3" fillId="8" borderId="3" xfId="13" applyFont="1" applyFill="1" applyBorder="1" applyAlignment="1">
      <alignment horizontal="center"/>
    </xf>
    <xf numFmtId="0" fontId="8" fillId="8" borderId="7" xfId="13" applyFont="1" applyFill="1" applyBorder="1" applyAlignment="1">
      <alignment horizontal="center"/>
    </xf>
    <xf numFmtId="14" fontId="1" fillId="8" borderId="3" xfId="13" applyNumberFormat="1" applyFill="1" applyBorder="1" applyAlignment="1">
      <alignment horizontal="center" wrapText="1"/>
    </xf>
    <xf numFmtId="42" fontId="1" fillId="8" borderId="7" xfId="13" applyNumberFormat="1" applyFill="1" applyBorder="1" applyAlignment="1">
      <alignment horizontal="center" wrapText="1"/>
    </xf>
    <xf numFmtId="1" fontId="1" fillId="8" borderId="7" xfId="13" applyNumberFormat="1" applyFill="1" applyBorder="1" applyAlignment="1">
      <alignment horizontal="center" wrapText="1"/>
    </xf>
    <xf numFmtId="168" fontId="3" fillId="8" borderId="7" xfId="13" applyNumberFormat="1" applyFont="1" applyFill="1" applyBorder="1" applyAlignment="1">
      <alignment horizontal="center"/>
    </xf>
    <xf numFmtId="0" fontId="3" fillId="8" borderId="7" xfId="16" applyFont="1" applyFill="1" applyBorder="1" applyAlignment="1">
      <alignment horizontal="center"/>
    </xf>
    <xf numFmtId="0" fontId="6" fillId="8" borderId="7" xfId="13" applyFont="1" applyFill="1" applyBorder="1" applyAlignment="1">
      <alignment horizontal="center"/>
    </xf>
    <xf numFmtId="14" fontId="1" fillId="8" borderId="7" xfId="13" applyNumberFormat="1" applyFill="1" applyBorder="1" applyAlignment="1">
      <alignment horizontal="center" wrapText="1"/>
    </xf>
    <xf numFmtId="167" fontId="3" fillId="8" borderId="7" xfId="13" applyNumberFormat="1" applyFont="1" applyFill="1" applyBorder="1" applyAlignment="1">
      <alignment horizontal="right" indent="2"/>
    </xf>
    <xf numFmtId="42" fontId="0" fillId="8" borderId="7" xfId="14" applyFont="1" applyFill="1" applyBorder="1" applyAlignment="1">
      <alignment horizontal="center" wrapText="1"/>
    </xf>
    <xf numFmtId="167" fontId="3" fillId="8" borderId="7" xfId="14" applyNumberFormat="1" applyFont="1" applyFill="1" applyBorder="1" applyAlignment="1">
      <alignment horizontal="right"/>
    </xf>
    <xf numFmtId="0" fontId="3" fillId="8" borderId="7" xfId="13" applyFont="1" applyFill="1" applyBorder="1" applyAlignment="1">
      <alignment horizontal="center"/>
    </xf>
    <xf numFmtId="42" fontId="3" fillId="8" borderId="7" xfId="13" applyNumberFormat="1" applyFont="1" applyFill="1" applyBorder="1" applyAlignment="1">
      <alignment horizontal="center"/>
    </xf>
    <xf numFmtId="0" fontId="1" fillId="8" borderId="10" xfId="13" applyFill="1" applyBorder="1" applyAlignment="1">
      <alignment horizontal="center" wrapText="1"/>
    </xf>
    <xf numFmtId="42" fontId="0" fillId="8" borderId="7" xfId="14" applyFont="1" applyFill="1" applyBorder="1" applyAlignment="1">
      <alignment horizontal="center"/>
    </xf>
    <xf numFmtId="14" fontId="1" fillId="8" borderId="3" xfId="13" applyNumberFormat="1" applyFill="1" applyBorder="1" applyAlignment="1">
      <alignment horizontal="center"/>
    </xf>
    <xf numFmtId="42" fontId="1" fillId="8" borderId="7" xfId="13" applyNumberFormat="1" applyFill="1" applyBorder="1" applyAlignment="1">
      <alignment horizontal="left" vertical="top" wrapText="1"/>
    </xf>
    <xf numFmtId="14" fontId="1" fillId="2" borderId="1" xfId="13" applyNumberFormat="1" applyFill="1" applyBorder="1" applyAlignment="1">
      <alignment horizontal="center"/>
    </xf>
    <xf numFmtId="42" fontId="1" fillId="2" borderId="1" xfId="13" applyNumberFormat="1" applyFill="1" applyBorder="1" applyAlignment="1">
      <alignment horizontal="center"/>
    </xf>
    <xf numFmtId="42" fontId="0" fillId="2" borderId="1" xfId="14" applyFont="1" applyFill="1" applyBorder="1" applyAlignment="1">
      <alignment horizontal="center"/>
    </xf>
    <xf numFmtId="14" fontId="8" fillId="8" borderId="1" xfId="13" applyNumberFormat="1" applyFont="1" applyFill="1" applyBorder="1" applyAlignment="1">
      <alignment horizontal="center"/>
    </xf>
    <xf numFmtId="14" fontId="1" fillId="0" borderId="7" xfId="13" applyNumberFormat="1" applyBorder="1" applyAlignment="1">
      <alignment horizontal="center"/>
    </xf>
    <xf numFmtId="42" fontId="1" fillId="0" borderId="7" xfId="13" applyNumberFormat="1" applyBorder="1" applyAlignment="1">
      <alignment horizontal="center"/>
    </xf>
    <xf numFmtId="42" fontId="1" fillId="0" borderId="7" xfId="13" applyNumberFormat="1" applyBorder="1" applyAlignment="1">
      <alignment horizontal="center" wrapText="1"/>
    </xf>
    <xf numFmtId="0" fontId="1" fillId="8" borderId="9" xfId="13" applyFill="1" applyBorder="1" applyAlignment="1">
      <alignment horizontal="center"/>
    </xf>
    <xf numFmtId="0" fontId="3" fillId="8" borderId="9" xfId="13" applyFont="1" applyFill="1" applyBorder="1" applyAlignment="1">
      <alignment horizontal="center"/>
    </xf>
    <xf numFmtId="1" fontId="3" fillId="8" borderId="1" xfId="13" applyNumberFormat="1" applyFont="1" applyFill="1" applyBorder="1" applyAlignment="1">
      <alignment horizontal="center"/>
    </xf>
    <xf numFmtId="0" fontId="1" fillId="2" borderId="9" xfId="13" applyFill="1" applyBorder="1" applyAlignment="1">
      <alignment horizontal="center"/>
    </xf>
    <xf numFmtId="165" fontId="1" fillId="2" borderId="1" xfId="13" applyNumberFormat="1" applyFill="1" applyBorder="1" applyAlignment="1" applyProtection="1">
      <alignment horizontal="center" vertical="center"/>
      <protection locked="0"/>
    </xf>
    <xf numFmtId="1" fontId="1" fillId="2" borderId="1" xfId="13" applyNumberFormat="1" applyFill="1" applyBorder="1" applyAlignment="1">
      <alignment horizontal="center"/>
    </xf>
    <xf numFmtId="42" fontId="0" fillId="2" borderId="1" xfId="14" applyFont="1" applyFill="1" applyBorder="1" applyAlignment="1">
      <alignment horizontal="center" wrapText="1"/>
    </xf>
    <xf numFmtId="42" fontId="1" fillId="8" borderId="1" xfId="13" applyNumberFormat="1" applyFill="1" applyBorder="1" applyAlignment="1">
      <alignment horizontal="left" wrapText="1"/>
    </xf>
    <xf numFmtId="0" fontId="1" fillId="8" borderId="0" xfId="13" applyFill="1" applyAlignment="1">
      <alignment horizontal="center" wrapText="1"/>
    </xf>
    <xf numFmtId="0" fontId="1" fillId="8" borderId="11" xfId="13" applyFill="1" applyBorder="1" applyAlignment="1">
      <alignment horizontal="center" wrapText="1"/>
    </xf>
    <xf numFmtId="14" fontId="1" fillId="8" borderId="0" xfId="13" applyNumberFormat="1" applyFill="1" applyAlignment="1">
      <alignment horizontal="center" wrapText="1"/>
    </xf>
    <xf numFmtId="0" fontId="1" fillId="8" borderId="1" xfId="13" applyFill="1" applyBorder="1" applyAlignment="1">
      <alignment horizontal="right" wrapText="1"/>
    </xf>
    <xf numFmtId="0" fontId="3" fillId="8" borderId="0" xfId="13" applyFont="1" applyFill="1"/>
    <xf numFmtId="0" fontId="3" fillId="11" borderId="1" xfId="13" applyFont="1" applyFill="1" applyBorder="1" applyAlignment="1">
      <alignment horizontal="center"/>
    </xf>
    <xf numFmtId="0" fontId="1" fillId="2" borderId="1" xfId="13" applyFill="1" applyBorder="1" applyAlignment="1">
      <alignment horizontal="right"/>
    </xf>
    <xf numFmtId="0" fontId="1" fillId="2" borderId="1" xfId="13" applyFill="1" applyBorder="1" applyAlignment="1">
      <alignment horizontal="right" wrapText="1"/>
    </xf>
    <xf numFmtId="1" fontId="1" fillId="2" borderId="1" xfId="13" applyNumberFormat="1" applyFill="1" applyBorder="1" applyAlignment="1">
      <alignment horizontal="right"/>
    </xf>
    <xf numFmtId="42" fontId="1" fillId="2" borderId="1" xfId="13" applyNumberFormat="1" applyFill="1" applyBorder="1" applyAlignment="1">
      <alignment horizontal="right"/>
    </xf>
    <xf numFmtId="42" fontId="0" fillId="2" borderId="1" xfId="14" applyFont="1" applyFill="1" applyBorder="1" applyAlignment="1">
      <alignment horizontal="right"/>
    </xf>
    <xf numFmtId="14" fontId="1" fillId="2" borderId="1" xfId="13" applyNumberFormat="1" applyFill="1" applyBorder="1" applyAlignment="1">
      <alignment horizontal="right"/>
    </xf>
    <xf numFmtId="0" fontId="1" fillId="2" borderId="3" xfId="13" applyFill="1" applyBorder="1" applyAlignment="1">
      <alignment horizontal="right"/>
    </xf>
    <xf numFmtId="42" fontId="1" fillId="8" borderId="0" xfId="13" applyNumberFormat="1" applyFill="1" applyAlignment="1">
      <alignment horizontal="left" vertical="top" wrapText="1"/>
    </xf>
    <xf numFmtId="0" fontId="1" fillId="2" borderId="7" xfId="13" applyFill="1" applyBorder="1" applyAlignment="1">
      <alignment horizontal="center"/>
    </xf>
    <xf numFmtId="0" fontId="1" fillId="2" borderId="1" xfId="13" applyFill="1" applyBorder="1" applyAlignment="1">
      <alignment horizontal="center" vertical="center"/>
    </xf>
    <xf numFmtId="166" fontId="7" fillId="8" borderId="1" xfId="17" applyFont="1" applyFill="1" applyBorder="1"/>
    <xf numFmtId="14" fontId="1" fillId="12" borderId="1" xfId="13" applyNumberFormat="1" applyFill="1" applyBorder="1" applyAlignment="1">
      <alignment horizontal="center" wrapText="1"/>
    </xf>
    <xf numFmtId="0" fontId="7" fillId="8" borderId="1" xfId="13" applyFont="1" applyFill="1" applyBorder="1" applyAlignment="1">
      <alignment horizontal="center"/>
    </xf>
    <xf numFmtId="0" fontId="1" fillId="2" borderId="0" xfId="13" applyFill="1" applyAlignment="1">
      <alignment horizontal="center"/>
    </xf>
    <xf numFmtId="14" fontId="1" fillId="8" borderId="14" xfId="13" applyNumberFormat="1" applyFill="1" applyBorder="1" applyAlignment="1">
      <alignment horizontal="center"/>
    </xf>
    <xf numFmtId="166" fontId="7" fillId="8" borderId="1" xfId="17" applyFont="1" applyFill="1" applyBorder="1" applyAlignment="1">
      <alignment horizontal="center"/>
    </xf>
    <xf numFmtId="167" fontId="3" fillId="8" borderId="1" xfId="14" applyNumberFormat="1" applyFont="1" applyFill="1" applyBorder="1" applyAlignment="1">
      <alignment horizontal="center"/>
    </xf>
    <xf numFmtId="165" fontId="1" fillId="8" borderId="1" xfId="13" applyNumberFormat="1" applyFill="1" applyBorder="1" applyAlignment="1">
      <alignment horizontal="center" vertical="center"/>
    </xf>
    <xf numFmtId="42" fontId="1" fillId="8" borderId="1" xfId="13" applyNumberFormat="1" applyFill="1" applyBorder="1" applyAlignment="1">
      <alignment horizontal="center" vertical="center" wrapText="1"/>
    </xf>
    <xf numFmtId="165" fontId="1" fillId="2" borderId="1" xfId="13" applyNumberFormat="1" applyFill="1" applyBorder="1" applyAlignment="1">
      <alignment horizontal="center" vertical="center"/>
    </xf>
    <xf numFmtId="42" fontId="1" fillId="2" borderId="1" xfId="13" applyNumberFormat="1" applyFill="1" applyBorder="1" applyAlignment="1">
      <alignment horizontal="center" vertical="center" wrapText="1"/>
    </xf>
    <xf numFmtId="14" fontId="1" fillId="2" borderId="1" xfId="13" applyNumberFormat="1" applyFill="1" applyBorder="1" applyAlignment="1">
      <alignment horizontal="center" vertical="center"/>
    </xf>
    <xf numFmtId="0" fontId="3" fillId="9" borderId="1" xfId="13" applyFont="1" applyFill="1" applyBorder="1" applyAlignment="1">
      <alignment horizontal="center"/>
    </xf>
    <xf numFmtId="0" fontId="3" fillId="9" borderId="4" xfId="13" applyFont="1" applyFill="1" applyBorder="1" applyAlignment="1">
      <alignment horizontal="center"/>
    </xf>
    <xf numFmtId="0" fontId="3" fillId="9" borderId="2" xfId="13" applyFont="1" applyFill="1" applyBorder="1" applyAlignment="1">
      <alignment horizontal="center"/>
    </xf>
    <xf numFmtId="14" fontId="1" fillId="8" borderId="14" xfId="13" applyNumberFormat="1" applyFill="1" applyBorder="1" applyAlignment="1">
      <alignment horizontal="center" wrapText="1"/>
    </xf>
    <xf numFmtId="0" fontId="1" fillId="2" borderId="9" xfId="13" applyFill="1" applyBorder="1" applyAlignment="1">
      <alignment horizontal="center" vertical="center"/>
    </xf>
    <xf numFmtId="0" fontId="1" fillId="2" borderId="2" xfId="13" applyFill="1" applyBorder="1" applyAlignment="1">
      <alignment horizontal="center" vertical="center"/>
    </xf>
    <xf numFmtId="14" fontId="1" fillId="2" borderId="14" xfId="13" applyNumberFormat="1" applyFill="1" applyBorder="1" applyAlignment="1">
      <alignment horizontal="center" vertical="center"/>
    </xf>
    <xf numFmtId="0" fontId="3" fillId="9" borderId="9" xfId="13" applyFont="1" applyFill="1" applyBorder="1" applyAlignment="1">
      <alignment horizontal="center"/>
    </xf>
    <xf numFmtId="0" fontId="1" fillId="8" borderId="9" xfId="13" applyFill="1" applyBorder="1" applyAlignment="1">
      <alignment horizontal="center" vertical="center"/>
    </xf>
    <xf numFmtId="0" fontId="1" fillId="8" borderId="2" xfId="13" applyFill="1" applyBorder="1" applyAlignment="1">
      <alignment horizontal="center" vertical="center"/>
    </xf>
    <xf numFmtId="0" fontId="3" fillId="2" borderId="1" xfId="13" applyFont="1" applyFill="1" applyBorder="1" applyAlignment="1">
      <alignment horizontal="center"/>
    </xf>
    <xf numFmtId="0" fontId="1" fillId="2" borderId="3" xfId="13" applyFill="1" applyBorder="1" applyAlignment="1">
      <alignment horizontal="center"/>
    </xf>
    <xf numFmtId="0" fontId="9" fillId="0" borderId="0" xfId="13" applyFont="1" applyAlignment="1">
      <alignment horizontal="center"/>
    </xf>
    <xf numFmtId="165" fontId="1" fillId="2" borderId="1" xfId="13" applyNumberFormat="1" applyFill="1" applyBorder="1" applyAlignment="1">
      <alignment horizontal="center" vertical="center" wrapText="1"/>
    </xf>
    <xf numFmtId="42" fontId="0" fillId="0" borderId="1" xfId="14" applyFont="1" applyBorder="1" applyAlignment="1">
      <alignment horizontal="center" wrapText="1"/>
    </xf>
    <xf numFmtId="42" fontId="1" fillId="0" borderId="0" xfId="13" applyNumberFormat="1" applyAlignment="1">
      <alignment horizontal="center" wrapText="1"/>
    </xf>
    <xf numFmtId="14" fontId="1" fillId="0" borderId="0" xfId="13" applyNumberFormat="1" applyAlignment="1">
      <alignment horizontal="center" wrapText="1"/>
    </xf>
    <xf numFmtId="42" fontId="0" fillId="0" borderId="0" xfId="14" applyFont="1" applyBorder="1" applyAlignment="1">
      <alignment horizontal="center" wrapText="1"/>
    </xf>
    <xf numFmtId="0" fontId="0" fillId="0" borderId="0" xfId="0" applyNumberFormat="1"/>
    <xf numFmtId="0" fontId="4" fillId="13" borderId="1" xfId="0" applyFont="1" applyFill="1" applyBorder="1" applyAlignment="1">
      <alignment horizontal="center" wrapText="1"/>
    </xf>
    <xf numFmtId="0" fontId="0" fillId="2" borderId="1" xfId="0" applyFont="1" applyFill="1" applyBorder="1" applyAlignment="1">
      <alignment horizontal="center" wrapText="1"/>
    </xf>
    <xf numFmtId="0" fontId="0" fillId="2" borderId="1" xfId="8" applyNumberFormat="1" applyFont="1" applyFill="1" applyBorder="1" applyAlignment="1">
      <alignment horizontal="center" wrapText="1"/>
    </xf>
    <xf numFmtId="165" fontId="0" fillId="2" borderId="1" xfId="0" applyNumberFormat="1" applyFont="1" applyFill="1" applyBorder="1" applyAlignment="1" applyProtection="1">
      <alignment horizontal="center" vertical="center" wrapText="1"/>
      <protection locked="0"/>
    </xf>
    <xf numFmtId="42" fontId="0" fillId="2" borderId="1" xfId="0" applyNumberFormat="1" applyFill="1" applyBorder="1" applyAlignment="1">
      <alignment horizontal="left"/>
    </xf>
    <xf numFmtId="42" fontId="1" fillId="2" borderId="1" xfId="1" applyFont="1" applyFill="1" applyBorder="1" applyAlignment="1">
      <alignment horizontal="right"/>
    </xf>
    <xf numFmtId="14" fontId="0" fillId="2" borderId="1" xfId="0" applyNumberFormat="1" applyFont="1" applyFill="1" applyBorder="1" applyAlignment="1">
      <alignment horizontal="center"/>
    </xf>
    <xf numFmtId="42" fontId="0" fillId="2" borderId="7" xfId="1" applyFont="1" applyFill="1" applyBorder="1" applyAlignment="1">
      <alignment horizontal="right"/>
    </xf>
    <xf numFmtId="14" fontId="4" fillId="2" borderId="1" xfId="0" applyNumberFormat="1" applyFont="1" applyFill="1" applyBorder="1" applyAlignment="1">
      <alignment horizontal="center" wrapText="1"/>
    </xf>
    <xf numFmtId="0" fontId="0" fillId="2" borderId="4" xfId="0" applyFont="1" applyFill="1" applyBorder="1" applyAlignment="1">
      <alignment horizontal="center"/>
    </xf>
    <xf numFmtId="0" fontId="0" fillId="2" borderId="2" xfId="0" applyFont="1" applyFill="1" applyBorder="1" applyAlignment="1">
      <alignment horizontal="center"/>
    </xf>
    <xf numFmtId="0" fontId="0" fillId="2" borderId="2" xfId="0" applyFont="1" applyFill="1" applyBorder="1" applyAlignment="1">
      <alignment horizontal="center" wrapText="1"/>
    </xf>
    <xf numFmtId="0" fontId="0" fillId="2" borderId="7" xfId="0" applyFont="1" applyFill="1" applyBorder="1" applyAlignment="1">
      <alignment horizontal="center"/>
    </xf>
    <xf numFmtId="14" fontId="0" fillId="2" borderId="7" xfId="0" applyNumberFormat="1" applyFont="1" applyFill="1" applyBorder="1" applyAlignment="1">
      <alignment horizontal="center"/>
    </xf>
    <xf numFmtId="0" fontId="0" fillId="2" borderId="7" xfId="0" applyFont="1" applyFill="1" applyBorder="1" applyAlignment="1">
      <alignment horizontal="center" wrapText="1"/>
    </xf>
    <xf numFmtId="42" fontId="0" fillId="2" borderId="7" xfId="0" applyNumberFormat="1" applyFont="1" applyFill="1" applyBorder="1" applyAlignment="1">
      <alignment horizontal="center"/>
    </xf>
    <xf numFmtId="0" fontId="0" fillId="2" borderId="1" xfId="0" applyFont="1" applyFill="1" applyBorder="1" applyAlignment="1">
      <alignment horizontal="center"/>
    </xf>
    <xf numFmtId="0" fontId="0" fillId="2" borderId="7" xfId="0" applyFont="1" applyFill="1" applyBorder="1" applyAlignment="1">
      <alignment horizontal="right"/>
    </xf>
    <xf numFmtId="14" fontId="0" fillId="2" borderId="1" xfId="0" applyNumberFormat="1" applyFont="1" applyFill="1" applyBorder="1" applyAlignment="1">
      <alignment horizontal="center" wrapText="1"/>
    </xf>
    <xf numFmtId="0" fontId="0" fillId="2" borderId="1" xfId="0" applyFont="1" applyFill="1" applyBorder="1" applyAlignment="1">
      <alignment horizontal="right" wrapText="1"/>
    </xf>
    <xf numFmtId="0" fontId="0" fillId="2" borderId="7" xfId="0" applyFont="1" applyFill="1" applyBorder="1" applyAlignment="1">
      <alignment horizontal="right" wrapText="1"/>
    </xf>
    <xf numFmtId="1" fontId="0" fillId="2" borderId="7" xfId="0" applyNumberFormat="1" applyFont="1" applyFill="1" applyBorder="1" applyAlignment="1">
      <alignment horizontal="right"/>
    </xf>
    <xf numFmtId="42" fontId="0" fillId="2" borderId="7" xfId="0" applyNumberFormat="1" applyFont="1" applyFill="1" applyBorder="1" applyAlignment="1">
      <alignment horizontal="right"/>
    </xf>
    <xf numFmtId="0" fontId="0" fillId="2" borderId="3" xfId="0" applyFont="1" applyFill="1" applyBorder="1" applyAlignment="1">
      <alignment horizontal="center" wrapText="1"/>
    </xf>
    <xf numFmtId="14" fontId="0" fillId="2" borderId="7" xfId="0" applyNumberFormat="1" applyFont="1" applyFill="1" applyBorder="1" applyAlignment="1">
      <alignment horizontal="right"/>
    </xf>
    <xf numFmtId="0" fontId="0" fillId="2" borderId="10" xfId="0" applyFont="1" applyFill="1" applyBorder="1" applyAlignment="1">
      <alignment horizontal="right"/>
    </xf>
    <xf numFmtId="42" fontId="0" fillId="2" borderId="1" xfId="0" applyNumberFormat="1" applyFont="1" applyFill="1" applyBorder="1" applyAlignment="1">
      <alignment horizontal="center"/>
    </xf>
    <xf numFmtId="0" fontId="0" fillId="2" borderId="1" xfId="0" applyFont="1" applyFill="1" applyBorder="1" applyAlignment="1">
      <alignment horizontal="center" vertical="center"/>
    </xf>
    <xf numFmtId="1" fontId="0" fillId="2" borderId="1" xfId="0" applyNumberFormat="1" applyFont="1" applyFill="1" applyBorder="1" applyAlignment="1">
      <alignment horizontal="center" wrapText="1"/>
    </xf>
    <xf numFmtId="42" fontId="0" fillId="2" borderId="1" xfId="0" applyNumberFormat="1" applyFont="1" applyFill="1" applyBorder="1" applyAlignment="1">
      <alignment horizontal="right" wrapText="1"/>
    </xf>
    <xf numFmtId="14" fontId="0" fillId="2" borderId="1" xfId="0" applyNumberFormat="1" applyFont="1" applyFill="1" applyBorder="1" applyAlignment="1">
      <alignment horizontal="right" wrapText="1"/>
    </xf>
    <xf numFmtId="42" fontId="0" fillId="2" borderId="1" xfId="0" applyNumberFormat="1" applyFont="1" applyFill="1" applyBorder="1" applyAlignment="1">
      <alignment horizontal="center" wrapText="1"/>
    </xf>
    <xf numFmtId="0" fontId="0" fillId="2" borderId="3" xfId="0" applyFont="1" applyFill="1" applyBorder="1" applyAlignment="1">
      <alignment horizontal="left" wrapText="1"/>
    </xf>
    <xf numFmtId="0" fontId="3" fillId="2" borderId="9" xfId="0" applyFont="1" applyFill="1" applyBorder="1" applyAlignment="1">
      <alignment horizontal="center"/>
    </xf>
    <xf numFmtId="0" fontId="3" fillId="2" borderId="2" xfId="0" applyFont="1" applyFill="1" applyBorder="1" applyAlignment="1">
      <alignment horizontal="center"/>
    </xf>
    <xf numFmtId="1" fontId="3" fillId="2" borderId="1" xfId="0" applyNumberFormat="1" applyFont="1" applyFill="1" applyBorder="1" applyAlignment="1">
      <alignment horizontal="center"/>
    </xf>
    <xf numFmtId="0" fontId="3" fillId="2" borderId="1" xfId="0" applyFont="1" applyFill="1" applyBorder="1"/>
    <xf numFmtId="0" fontId="3" fillId="2" borderId="1" xfId="0" applyFont="1" applyFill="1" applyBorder="1" applyAlignment="1">
      <alignment horizontal="left"/>
    </xf>
    <xf numFmtId="0" fontId="0" fillId="2" borderId="1" xfId="0" applyFill="1" applyBorder="1"/>
    <xf numFmtId="42" fontId="3" fillId="2" borderId="1" xfId="0" applyNumberFormat="1" applyFont="1" applyFill="1" applyBorder="1" applyAlignment="1">
      <alignment horizontal="center"/>
    </xf>
    <xf numFmtId="0" fontId="3" fillId="2" borderId="1" xfId="12" applyFont="1" applyFill="1" applyBorder="1" applyAlignment="1">
      <alignment horizontal="center"/>
    </xf>
    <xf numFmtId="0" fontId="3" fillId="14" borderId="1" xfId="0" applyFont="1" applyFill="1" applyBorder="1" applyAlignment="1">
      <alignment horizontal="center"/>
    </xf>
    <xf numFmtId="167" fontId="3" fillId="2" borderId="1" xfId="0" applyNumberFormat="1" applyFont="1" applyFill="1" applyBorder="1" applyAlignment="1">
      <alignment horizontal="right" indent="2"/>
    </xf>
    <xf numFmtId="0" fontId="4" fillId="2" borderId="1" xfId="0" applyFont="1" applyFill="1" applyBorder="1" applyAlignment="1">
      <alignment horizontal="center"/>
    </xf>
  </cellXfs>
  <cellStyles count="18">
    <cellStyle name="Hipervínculo" xfId="12" builtinId="8"/>
    <cellStyle name="Hipervínculo 2" xfId="16" xr:uid="{991D3106-56AF-4734-8300-3A75E14AF337}"/>
    <cellStyle name="Millares [0]" xfId="8" builtinId="6"/>
    <cellStyle name="Millares [0] 14" xfId="15" xr:uid="{CEE50092-6B2B-4A96-88F7-8DE66EE074C6}"/>
    <cellStyle name="Millares 2 3" xfId="11" xr:uid="{00000000-0005-0000-0000-000002000000}"/>
    <cellStyle name="Millares 2 3 3" xfId="17" xr:uid="{8DAAAE52-A15F-4ADD-8382-70D70531D849}"/>
    <cellStyle name="Moneda [0]" xfId="1" builtinId="7"/>
    <cellStyle name="Moneda [0] 17" xfId="14" xr:uid="{77C48A60-B8A5-4F9C-ABE3-7E6E207547AC}"/>
    <cellStyle name="Moneda [0] 9" xfId="4" xr:uid="{00000000-0005-0000-0000-000004000000}"/>
    <cellStyle name="Moneda 5 4 2" xfId="7" xr:uid="{00000000-0005-0000-0000-000005000000}"/>
    <cellStyle name="Moneda 8" xfId="6" xr:uid="{00000000-0005-0000-0000-000006000000}"/>
    <cellStyle name="Normal" xfId="0" builtinId="0"/>
    <cellStyle name="Normal 11" xfId="2" xr:uid="{00000000-0005-0000-0000-000008000000}"/>
    <cellStyle name="Normal 11 2" xfId="10" xr:uid="{00000000-0005-0000-0000-000009000000}"/>
    <cellStyle name="Normal 17" xfId="13" xr:uid="{3FE84710-A631-440A-8D95-EA2CFAB62209}"/>
    <cellStyle name="Normal 4 6 4 2 2" xfId="9" xr:uid="{00000000-0005-0000-0000-00000A000000}"/>
    <cellStyle name="Normal 4 9" xfId="5" xr:uid="{00000000-0005-0000-0000-00000B000000}"/>
    <cellStyle name="Normal 7 4 2" xfId="3" xr:uid="{00000000-0005-0000-0000-00000C000000}"/>
  </cellStyles>
  <dxfs count="79">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5" formatCode="yyyy/mm/dd"/>
      <fill>
        <patternFill patternType="solid">
          <fgColor indexed="64"/>
          <bgColor indexed="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1"/>
        <color theme="1" tint="0.14999847407452621"/>
        <name val="Calibri"/>
        <scheme val="minor"/>
      </font>
      <fill>
        <patternFill patternType="solid">
          <fgColor indexed="64"/>
          <bgColor theme="5" tint="0.39997558519241921"/>
        </patternFill>
      </fill>
      <alignment horizontal="center" vertical="center" textRotation="0" wrapText="1" indent="0" justifyLastLine="0" shrinkToFit="0" readingOrder="0"/>
    </dxf>
  </dxfs>
  <tableStyles count="0" defaultTableStyle="TableStyleMedium2" defaultPivotStyle="PivotStyleLight16"/>
  <colors>
    <mruColors>
      <color rgb="FFFFFFFF"/>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pivotCacheDefinition" Target="pivotCache/pivotCacheDefinition1.xml"/></Relationships>
</file>

<file path=xl/drawings/drawing1.xml><?xml version="1.0" encoding="utf-8"?>
<xdr:wsDr xmlns:xdr="http://schemas.openxmlformats.org/drawingml/2006/spreadsheetDrawing" xmlns:a="http://schemas.openxmlformats.org/drawingml/2006/main">
  <xdr:oneCellAnchor>
    <xdr:from>
      <xdr:col>3</xdr:col>
      <xdr:colOff>1257300</xdr:colOff>
      <xdr:row>0</xdr:row>
      <xdr:rowOff>0</xdr:rowOff>
    </xdr:from>
    <xdr:ext cx="156318" cy="85725"/>
    <xdr:sp macro="" textlink="">
      <xdr:nvSpPr>
        <xdr:cNvPr id="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30B4C7DA-A0D8-4A29-8A71-3A08C7536B36}"/>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5C9CB2AF-8890-4CF2-A849-AD03F48CA4BF}"/>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1DA1358-B7DE-4F6E-B387-A142F1FD31FD}"/>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E58A1EF7-67D1-4283-8861-C107B7B5E746}"/>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1B7B4E47-7F7F-451A-98D6-D44EE2561F95}"/>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A18DF16-9D2B-4F98-AA24-5CE383BA4E29}"/>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DB9346DB-1E46-4B45-A3CC-25A667BA46AA}"/>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B621A3AD-1ABE-4671-85F7-52753CF3A9DA}"/>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6D9A161-371C-47DE-A54A-5416105F6778}"/>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5FAA2214-7906-4A67-B192-610B5B4061E1}"/>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2A9044E4-203A-4F63-BACA-C0BB7751747B}"/>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CBFE563-CB2F-45E9-9EB2-5AD9B204ED72}"/>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C2693F9E-5BD4-4E09-AE7A-449756CCF156}"/>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8A77C7E-A778-4AC1-B178-07AD0A91A73E}"/>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4B8AF73-693B-4154-92EA-774AED9B4727}"/>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A3225C1-7F27-458A-B283-F688979E0A6E}"/>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DCA8FEA3-8B08-468C-92AB-D3291C936828}"/>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E31E5FAB-121E-4769-9FBE-25AAD285575B}"/>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54EABE94-B578-419C-98D9-41AD7BCCB431}"/>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831C68EF-B480-4F2D-932F-46E4FFBF3ED3}"/>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8408E05-F461-41A0-B8D8-3FB313B1F4A7}"/>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901382C8-585F-440C-B104-9072D59F5CB8}"/>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658C2525-F281-479C-91B7-711A42079BBC}"/>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99096285-B8D0-445B-B637-F860E9B7DE4C}"/>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B4D5B4B-30CE-4EED-98EE-1004F1ED05F1}"/>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68CBD93B-F0C5-4FD8-B219-B999E3C4FFDD}"/>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B25F9E4D-963D-46BD-A6F9-0B9FFC0ADF42}"/>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50FFC051-A2FF-48D9-832E-39E4A150BA2B}"/>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3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987A5EA-B977-490C-BB25-CAA4857B1AB7}"/>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3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142658C1-4EE2-42EA-BE17-68D51418C1D9}"/>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3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48E1EBDA-2EE2-43D5-BE30-A08A84A32A21}"/>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49617134c/Downloads/Consolidado%20informe%20gestion%20contractual%202023%20FEBRERO%202023%20(2).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1049617134c\Downloads\DAYANNA%20PRIETO%20-%20Informe%20gestion%20contractual%20-%20Marzo%20-%202023.xlsx" TargetMode="External"/><Relationship Id="rId1" Type="http://schemas.openxmlformats.org/officeDocument/2006/relationships/externalLinkPath" Target="/Users/1049617134c/Downloads/DAYANNA%20PRIETO%20-%20Informe%20gestion%20contractual%20-%20Marzo%20-%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49617134c/Downloads/Informe%20gestion%20contractual%20-%20Febrero%20-%202023%20-%20DAYANNA%20PRIE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49617134c/Downloads/Informe%20gestion%20contractual%20-%20Marzo%20-%202023%20-%20DAYANNA%20PRIETO%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lejandraarcos/Downloads/Informe%20gestion%20contractual%20-%20ABRIL%20-%202023%20-%20DAYANNA%20PRIETO%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1049617134c/Downloads/informe%20gestion%20contractual%20marzo%202023%20(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1049617134c\Downloads\Diana%20Dur&#225;n%20-%20informe%20gestion%20contractual%20marzo-2023.xlsx" TargetMode="External"/><Relationship Id="rId1" Type="http://schemas.openxmlformats.org/officeDocument/2006/relationships/externalLinkPath" Target="/Users/1049617134c/Downloads/Diana%20Dur&#225;n%20-%20informe%20gestion%20contractual%20marzo-2023.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1049617134c\Downloads\Oportunidad%20celebracion%20de%20contratos%20abril%202023.xlsx" TargetMode="External"/><Relationship Id="rId1" Type="http://schemas.openxmlformats.org/officeDocument/2006/relationships/externalLinkPath" Target="/Users/1049617134c/Downloads/Oportunidad%20celebracion%20de%20contratos%20abril%202023.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1049617134c\Downloads\Alejandra%20Arcos%20-%20informe%20gestion%20contractual%20Marzo%202023.xlsx" TargetMode="External"/><Relationship Id="rId1" Type="http://schemas.openxmlformats.org/officeDocument/2006/relationships/externalLinkPath" Target="/Users/1049617134c/Downloads/Alejandra%20Arcos%20-%20informe%20gestion%20contractual%20Marzo%202023.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1049617134c\Downloads\Cesar%20Mejia%20-%20informe%20gestion%20contractual%20marzo%202023.xlsx" TargetMode="External"/><Relationship Id="rId1" Type="http://schemas.openxmlformats.org/officeDocument/2006/relationships/externalLinkPath" Target="/Users/1049617134c/Downloads/Cesar%20Mejia%20-%20informe%20gestion%20contractual%20marz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Datos"/>
      <sheetName val="Contratación 2023"/>
      <sheetName val="Lista"/>
      <sheetName val="Consolidado informe gestion con"/>
    </sheetNames>
    <sheetDataSet>
      <sheetData sheetId="0" refreshError="1"/>
      <sheetData sheetId="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lisis de Datos"/>
      <sheetName val="Contratación 2023"/>
      <sheetName val="Lista"/>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Datos"/>
      <sheetName val="Contratación 2023"/>
      <sheetName val="Lista"/>
      <sheetName val="Informe gestion contractual - F"/>
    </sheetNames>
    <sheetDataSet>
      <sheetData sheetId="0" refreshError="1"/>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Datos"/>
      <sheetName val="Contratación 2023"/>
      <sheetName val="Lista"/>
      <sheetName val="Informe gestion contractual - M"/>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gestion contractual - 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Datos"/>
      <sheetName val="Contratación 2023"/>
      <sheetName val="Lista"/>
      <sheetName val="informe gestion contractual mar"/>
    </sheetNames>
    <sheetDataSet>
      <sheetData sheetId="0" refreshError="1"/>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EMPOS DE CONTRATACION"/>
      <sheetName val="Contratación 2023"/>
      <sheetName val="Analisis de Datos "/>
      <sheetName val="PAABS 2023"/>
      <sheetName val="VALIDACION"/>
      <sheetName val="LISTAS "/>
      <sheetName val="Listas"/>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lisis de Datos"/>
      <sheetName val="Contratación 2023"/>
      <sheetName val="Lista"/>
    </sheetNames>
    <sheetDataSet>
      <sheetData sheetId="0" refreshError="1"/>
      <sheetData sheetId="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lisis de Datos"/>
      <sheetName val="Contratación 2023"/>
      <sheetName val="Lista"/>
    </sheetNames>
    <sheetDataSet>
      <sheetData sheetId="0" refreshError="1"/>
      <sheetData sheetId="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jandra Maria Arcos Medina" refreshedDate="45077.605920254631" createdVersion="8" refreshedVersion="8" minRefreshableVersion="3" recordCount="200" xr:uid="{E89761A7-8687-4DED-868E-5F8BB598B1A2}">
  <cacheSource type="worksheet">
    <worksheetSource ref="A1:BV201" sheet="Contratación 2023 (2)"/>
  </cacheSource>
  <cacheFields count="74">
    <cacheField name="ENTIDAD" numFmtId="0">
      <sharedItems/>
    </cacheField>
    <cacheField name="NIT" numFmtId="0">
      <sharedItems/>
    </cacheField>
    <cacheField name="PLATAFORMA" numFmtId="0">
      <sharedItems/>
    </cacheField>
    <cacheField name="CONSECUTIVO PAABS EXCEL Y ESTUDIOS PREVIOS " numFmtId="0">
      <sharedItems containsMixedTypes="1" containsNumber="1" containsInteger="1" minValue="1" maxValue="297"/>
    </cacheField>
    <cacheField name="PROFESIONAL ENCARGADO" numFmtId="0">
      <sharedItems count="7">
        <s v="Dayanna Prieto Villalba"/>
        <s v="Alejandra María Arcos Medina"/>
        <s v="Belisa Amparo Oviedo Diaz"/>
        <s v="Diana Esperanza Durán Garcia "/>
        <s v="Cesar Augusto Mejia Carrillo"/>
        <s v="Juan David Camargo García "/>
        <s v="Cesar Augusto Mejía Carrillo"/>
      </sharedItems>
    </cacheField>
    <cacheField name="EXPEDIENTE" numFmtId="0">
      <sharedItems/>
    </cacheField>
    <cacheField name="N°PROCESO EN SECOP / No. EVENTO " numFmtId="0">
      <sharedItems containsDate="1" containsMixedTypes="1" minDate="1900-01-07T18:09:04" maxDate="1900-01-06T21:07:05"/>
    </cacheField>
    <cacheField name="MES" numFmtId="0">
      <sharedItems count="4">
        <s v="Enero"/>
        <s v="Febrero"/>
        <s v="Marzo"/>
        <s v="Abril"/>
      </sharedItems>
    </cacheField>
    <cacheField name="FECHA PUBLICACION PROCESO SECOP II-TIENDA VIRTUAL" numFmtId="0">
      <sharedItems containsDate="1" containsMixedTypes="1" minDate="2023-01-11T00:00:00" maxDate="2023-04-29T00:00:00" count="62">
        <d v="2023-01-11T00:00:00"/>
        <d v="2023-01-12T00:00:00"/>
        <d v="2023-01-13T00:00:00"/>
        <d v="2023-01-16T00:00:00"/>
        <d v="2023-01-17T00:00:00"/>
        <d v="2023-01-18T00:00:00"/>
        <d v="2023-01-19T00:00:00"/>
        <d v="2023-01-20T00:00:00"/>
        <d v="2023-01-23T00:00:00"/>
        <d v="2023-01-24T00:00:00"/>
        <d v="2023-01-25T00:00:00"/>
        <d v="2023-01-26T00:00:00"/>
        <d v="2023-01-27T00:00:00"/>
        <d v="2023-01-30T00:00:00"/>
        <d v="2023-01-31T00:00:00"/>
        <d v="2023-02-06T00:00:00"/>
        <d v="2023-02-09T00:00:00"/>
        <d v="2023-02-10T00:00:00"/>
        <d v="2023-02-13T00:00:00"/>
        <d v="2023-02-14T00:00:00"/>
        <d v="2023-02-15T00:00:00"/>
        <d v="2023-02-16T00:00:00"/>
        <d v="2023-02-17T00:00:00"/>
        <d v="2023-02-20T00:00:00"/>
        <d v="2023-02-21T00:00:00"/>
        <d v="2023-02-22T00:00:00"/>
        <d v="2023-02-23T00:00:00"/>
        <d v="2023-02-24T00:00:00"/>
        <d v="2023-02-27T00:00:00"/>
        <d v="2023-02-28T00:00:00"/>
        <d v="2023-03-01T00:00:00"/>
        <d v="2023-03-02T00:00:00"/>
        <d v="2023-03-03T00:00:00"/>
        <d v="2023-03-07T00:00:00"/>
        <d v="2023-03-08T00:00:00"/>
        <d v="2023-03-09T00:00:00"/>
        <d v="2023-03-10T00:00:00"/>
        <d v="2023-03-13T00:00:00"/>
        <d v="2023-04-03T00:00:00"/>
        <d v="2023-03-14T00:00:00"/>
        <d v="2023-04-10T00:00:00"/>
        <d v="2023-03-15T00:00:00"/>
        <d v="2023-03-16T00:00:00"/>
        <d v="2023-03-17T00:00:00"/>
        <d v="2023-04-11T00:00:00"/>
        <d v="2023-03-21T00:00:00"/>
        <d v="2023-03-22T00:00:00"/>
        <d v="2023-03-23T00:00:00"/>
        <d v="2023-03-24T00:00:00"/>
        <d v="2023-03-28T00:00:00"/>
        <d v="2023-03-29T00:00:00"/>
        <d v="2023-03-30T00:00:00"/>
        <d v="2023-03-31T00:00:00"/>
        <d v="2023-04-27T00:00:00"/>
        <d v="2023-04-28T00:00:00"/>
        <d v="2023-04-21T00:00:00"/>
        <s v="11/042023"/>
        <d v="2023-04-14T00:00:00"/>
        <d v="2023-04-20T00:00:00"/>
        <d v="2023-04-18T00:00:00"/>
        <d v="2023-04-25T00:00:00"/>
        <d v="2023-04-04T00:00:00"/>
      </sharedItems>
    </cacheField>
    <cacheField name="MODALIDAD" numFmtId="0">
      <sharedItems/>
    </cacheField>
    <cacheField name="CAUSAL" numFmtId="0">
      <sharedItems containsBlank="1"/>
    </cacheField>
    <cacheField name="AREA DE LA  NECESIDAD" numFmtId="0">
      <sharedItems count="32">
        <s v="Dirección General"/>
        <s v="Oficina Asesora de Planeación"/>
        <s v="Oficina de Tecnología de la Informacion"/>
        <s v="Subdirección Administrativa y Financiera"/>
        <s v="Oficina de Comunicaciones "/>
        <s v="Secretaria General"/>
        <s v="Subdirección de Verificación Migratoria"/>
        <s v="Grupo de Archivo y Correspondencia"/>
        <s v="Sub. Adm y financiera - Grupo Administrativo"/>
        <s v="Oficina Asesora Juridica"/>
        <s v="oficina tecnologias de la informacion"/>
        <s v="Oficina Asesora Jurídica"/>
        <s v="Subdirección de Control Migratorio"/>
        <s v="Subdireccion de Control Migratorio"/>
        <s v="oficina  de  comunicaciones "/>
        <s v="subdireccion talento humano"/>
        <s v="Grupo de Archivo y Correspondencia - Tecnología"/>
        <s v="Subdirección de Extranjeria"/>
        <s v="Subdirección Administrativa y Financiera - Grupo Administrativo"/>
        <s v="CONTROL INTERNO DISCIPLINARIO"/>
        <s v="SUBDIRECCIÃN DE CONTROL DISCIPLINARIO INTERNO"/>
        <s v="SUBDIRECCION  TALENTO HUMANO "/>
        <s v="subdireccion de talento humano"/>
        <s v="SUBDIRECCION ADMINISTRATIVA Y FINANCIERA "/>
        <s v="Subdirección de Talento Humano"/>
        <s v="Oficina Tecnología de la Información"/>
        <s v="Subdirección de Talento Humano – Grupo de Pasajes y Viáticos"/>
        <s v="Grupo de Bienestar Social y Salud Ocupacional"/>
        <s v="Subdirección Administrativa y Financiera "/>
        <s v="Subdirección de Talento Humano "/>
        <s v="Oficina de Tecnología de la Información "/>
        <s v="Oficina de Tecnologías de la Información"/>
      </sharedItems>
    </cacheField>
    <cacheField name="OBJETO" numFmtId="0">
      <sharedItems longText="1"/>
    </cacheField>
    <cacheField name="CODIGO UNSCSP" numFmtId="0">
      <sharedItems containsBlank="1" containsMixedTypes="1" containsNumber="1" containsInteger="1" minValue="432332" maxValue="92121500"/>
    </cacheField>
    <cacheField name="NOMBRE DE CODIGO" numFmtId="0">
      <sharedItems containsBlank="1" longText="1"/>
    </cacheField>
    <cacheField name="VALOR PROCESO EN EL PAABS SECOP II" numFmtId="0">
      <sharedItems containsMixedTypes="1" containsNumber="1" minValue="950000" maxValue="10994809613"/>
    </cacheField>
    <cacheField name="VALOR PROCESO  ESTUDIOS PREVIOS " numFmtId="0">
      <sharedItems containsMixedTypes="1" containsNumber="1" minValue="838000" maxValue="10222636747"/>
    </cacheField>
    <cacheField name="CDP" numFmtId="0">
      <sharedItems containsBlank="1" containsMixedTypes="1" containsNumber="1" containsInteger="1" minValue="4223" maxValue="35623"/>
    </cacheField>
    <cacheField name="RUBRO" numFmtId="0">
      <sharedItems containsBlank="1"/>
    </cacheField>
    <cacheField name="ETAPA" numFmtId="0">
      <sharedItems/>
    </cacheField>
    <cacheField name="ESTADO" numFmtId="0">
      <sharedItems containsBlank="1"/>
    </cacheField>
    <cacheField name="RESOLUCION DECLARACTORIA DESIERTO" numFmtId="0">
      <sharedItems containsBlank="1" containsMixedTypes="1" containsNumber="1" containsInteger="1" minValue="226" maxValue="342"/>
    </cacheField>
    <cacheField name="N° DE CONTRATO CELEBRADO" numFmtId="0">
      <sharedItems containsBlank="1" containsMixedTypes="1" containsNumber="1" containsInteger="1" minValue="106790" maxValue="108707"/>
    </cacheField>
    <cacheField name="MES2" numFmtId="0">
      <sharedItems containsBlank="1"/>
    </cacheField>
    <cacheField name="FECHA DE FIRMA CONTRATO" numFmtId="0">
      <sharedItems containsDate="1" containsBlank="1" containsMixedTypes="1" minDate="2023-01-13T00:00:00" maxDate="2056-05-24T00:00:00"/>
    </cacheField>
    <cacheField name="TIPO DE CONTRATO" numFmtId="0">
      <sharedItems containsBlank="1"/>
    </cacheField>
    <cacheField name="OTRO TIPO DE CONTRATO" numFmtId="0">
      <sharedItems containsBlank="1"/>
    </cacheField>
    <cacheField name="REGIONAL" numFmtId="0">
      <sharedItems containsBlank="1"/>
    </cacheField>
    <cacheField name="_x000a_LUGAR DE EJECUCION_x000a_" numFmtId="0">
      <sharedItems containsBlank="1"/>
    </cacheField>
    <cacheField name="CONTRATISTA" numFmtId="0">
      <sharedItems containsBlank="1"/>
    </cacheField>
    <cacheField name="IDENTIFICACION" numFmtId="0">
      <sharedItems containsBlank="1" containsMixedTypes="1" containsNumber="1" containsInteger="1" minValue="2231695" maxValue="8002374121"/>
    </cacheField>
    <cacheField name="DV" numFmtId="0">
      <sharedItems containsBlank="1" containsMixedTypes="1" containsNumber="1" containsInteger="1" minValue="0" maxValue="9"/>
    </cacheField>
    <cacheField name="PROFESIÓN" numFmtId="0">
      <sharedItems containsBlank="1"/>
    </cacheField>
    <cacheField name="MYPIME" numFmtId="0">
      <sharedItems containsBlank="1"/>
    </cacheField>
    <cacheField name="CLASIFICACION" numFmtId="0">
      <sharedItems containsBlank="1"/>
    </cacheField>
    <cacheField name="TIPO DE ORGANIZACIÓN" numFmtId="0">
      <sharedItems containsBlank="1"/>
    </cacheField>
    <cacheField name="FECHA DE NACIMIENTO" numFmtId="0">
      <sharedItems containsDate="1" containsBlank="1" containsMixedTypes="1" minDate="1962-07-29T00:00:00" maxDate="2001-02-09T00:00:00"/>
    </cacheField>
    <cacheField name="EDAD" numFmtId="0">
      <sharedItems containsBlank="1" containsMixedTypes="1" containsNumber="1" containsInteger="1" minValue="25" maxValue="123"/>
    </cacheField>
    <cacheField name="N° RP" numFmtId="0">
      <sharedItems containsBlank="1" containsMixedTypes="1" containsNumber="1" containsInteger="1" minValue="13723" maxValue="79923"/>
    </cacheField>
    <cacheField name="FECHA RP" numFmtId="0">
      <sharedItems containsNonDate="0" containsDate="1" containsString="0" containsBlank="1" minDate="2023-01-12T00:00:00" maxDate="2023-05-03T00:00:00"/>
    </cacheField>
    <cacheField name="VALOR  2023" numFmtId="0">
      <sharedItems containsBlank="1" containsMixedTypes="1" containsNumber="1" minValue="838000" maxValue="5122000000"/>
    </cacheField>
    <cacheField name="VALOR VF 2024" numFmtId="0">
      <sharedItems containsString="0" containsBlank="1" containsNumber="1" containsInteger="1" minValue="4982000000" maxValue="4982000000"/>
    </cacheField>
    <cacheField name="VALOR VF 2025" numFmtId="0">
      <sharedItems containsNonDate="0" containsString="0" containsBlank="1"/>
    </cacheField>
    <cacheField name="VALOR VF 2026" numFmtId="0">
      <sharedItems containsNonDate="0" containsString="0" containsBlank="1"/>
    </cacheField>
    <cacheField name="VALOR TOTAL CONTRATO + VF" numFmtId="0">
      <sharedItems containsBlank="1" containsMixedTypes="1" containsNumber="1" minValue="0" maxValue="10104000000"/>
    </cacheField>
    <cacheField name="GARANTIA" numFmtId="0">
      <sharedItems containsBlank="1"/>
    </cacheField>
    <cacheField name="FECHA DE EXPEDICION GARANTIA" numFmtId="0">
      <sharedItems containsDate="1" containsBlank="1" containsMixedTypes="1" minDate="1899-12-31T00:00:00" maxDate="2023-05-05T00:00:00"/>
    </cacheField>
    <cacheField name="RIESGOS" numFmtId="0">
      <sharedItems containsBlank="1"/>
    </cacheField>
    <cacheField name="FECHA DE INICIO DEL CONTRATO" numFmtId="0">
      <sharedItems containsDate="1" containsBlank="1" containsMixedTypes="1" minDate="2023-01-16T00:00:00" maxDate="2023-05-05T00:00:00"/>
    </cacheField>
    <cacheField name="FECHA DE TERMINACION DEL CONTRATO" numFmtId="0">
      <sharedItems containsDate="1" containsBlank="1" containsMixedTypes="1" minDate="2023-04-14T00:00:00" maxDate="2024-07-01T00:00:00"/>
    </cacheField>
    <cacheField name="DIAS DE EJECUCION DEL CONTRATO" numFmtId="0">
      <sharedItems containsBlank="1" containsMixedTypes="1" containsNumber="1" containsInteger="1" minValue="0" maxValue="426"/>
    </cacheField>
    <cacheField name="NOMBRE SUPERVISOR" numFmtId="0">
      <sharedItems containsBlank="1"/>
    </cacheField>
    <cacheField name="CEDULA SUPERVISOR" numFmtId="0">
      <sharedItems containsString="0" containsBlank="1" containsNumber="1" containsInteger="1" minValue="7183645" maxValue="1144031972"/>
    </cacheField>
    <cacheField name="ADICION 1 " numFmtId="0">
      <sharedItems containsNonDate="0" containsString="0" containsBlank="1"/>
    </cacheField>
    <cacheField name="FECHA  DE FIRMA" numFmtId="0">
      <sharedItems containsNonDate="0" containsString="0" containsBlank="1"/>
    </cacheField>
    <cacheField name="ADICION 2" numFmtId="0">
      <sharedItems containsNonDate="0" containsString="0" containsBlank="1"/>
    </cacheField>
    <cacheField name="FECHA FIRMA" numFmtId="0">
      <sharedItems containsNonDate="0" containsString="0" containsBlank="1"/>
    </cacheField>
    <cacheField name="ADICION 3" numFmtId="0">
      <sharedItems containsNonDate="0" containsString="0" containsBlank="1"/>
    </cacheField>
    <cacheField name="FECHADE FIRMA" numFmtId="0">
      <sharedItems containsNonDate="0" containsString="0" containsBlank="1"/>
    </cacheField>
    <cacheField name="LIBERACION" numFmtId="0">
      <sharedItems containsNonDate="0" containsString="0" containsBlank="1"/>
    </cacheField>
    <cacheField name="FECHA LIBERACION " numFmtId="0">
      <sharedItems containsString="0" containsBlank="1" containsNumber="1" containsInteger="1" minValue="13700" maxValue="13700"/>
    </cacheField>
    <cacheField name="VALOR TOTAL DEL CONTRATO CON ADICIONES VIGENCIA" numFmtId="0">
      <sharedItems containsBlank="1" containsMixedTypes="1" containsNumber="1" minValue="0" maxValue="10104000000"/>
    </cacheField>
    <cacheField name="PRORROGA 1  EN DIAS" numFmtId="0">
      <sharedItems containsString="0" containsBlank="1" containsNumber="1" containsInteger="1" minValue="28" maxValue="47"/>
    </cacheField>
    <cacheField name="FECHADE TERMINACION DEL CONTRATO" numFmtId="0">
      <sharedItems containsNonDate="0" containsDate="1" containsString="0" containsBlank="1" minDate="2023-05-22T00:00:00" maxDate="2023-06-01T00:00:00"/>
    </cacheField>
    <cacheField name="FECHA FIRMA DEL DOCUMENTO" numFmtId="0">
      <sharedItems containsNonDate="0" containsDate="1" containsString="0" containsBlank="1" minDate="2023-04-13T00:00:00" maxDate="2023-04-22T00:00:00"/>
    </cacheField>
    <cacheField name="PRORROGA 2 EN DIAS" numFmtId="0">
      <sharedItems containsNonDate="0" containsString="0" containsBlank="1"/>
    </cacheField>
    <cacheField name="FECHA DE TERMINACION DEL CONTRATO2" numFmtId="0">
      <sharedItems containsNonDate="0" containsString="0" containsBlank="1"/>
    </cacheField>
    <cacheField name="FECHA FIRMA DEL DOCUMENTOS" numFmtId="0">
      <sharedItems containsNonDate="0" containsString="0" containsBlank="1"/>
    </cacheField>
    <cacheField name="PRORROGA 3 EN DIAS" numFmtId="0">
      <sharedItems containsNonDate="0" containsString="0" containsBlank="1"/>
    </cacheField>
    <cacheField name="FECHA DE TERMINACION DEL CONTRATO3" numFmtId="0">
      <sharedItems containsNonDate="0" containsString="0" containsBlank="1"/>
    </cacheField>
    <cacheField name="FECHA FIRMA DEL DOCUMENTO2" numFmtId="0">
      <sharedItems containsNonDate="0" containsString="0" containsBlank="1"/>
    </cacheField>
    <cacheField name="TIEMPO DE EJECUCION DEL CONTRATO CON LAS PRORROGAS" numFmtId="0">
      <sharedItems containsBlank="1" containsMixedTypes="1" containsNumber="1" containsInteger="1" minValue="0" maxValue="349"/>
    </cacheField>
    <cacheField name="FECHA DE LIQUIDACION DEL CONTRATO" numFmtId="0">
      <sharedItems containsNonDate="0" containsString="0" containsBlank="1"/>
    </cacheField>
    <cacheField name="OBSERVACION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s v="UNIDAD ADMINISTRATIVA ESPECIAL MIGRACIÓN COLOMBIA"/>
    <s v="900477235-6"/>
    <s v="Secop II"/>
    <n v="1"/>
    <x v="0"/>
    <s v="20236311413000001E"/>
    <s v="PCD-004-2023-1D"/>
    <x v="0"/>
    <x v="0"/>
    <s v="Contratación Directa"/>
    <s v="Prestación de Servicios Profesionales "/>
    <x v="0"/>
    <s v="PRESTACIÖN DE SERVICIOS PROFESIONALES CON AUTONOMÍA TÉCNICA Y ADMINISTRATIVA PARA APOYAR LA GESTIÓN DE LA DIRECCIÓN GENERAL EN LA ESTRATEGIA DE COMUNICACIONES Y POSICIONAMIENTO DE LA ENTIDAD, DE CARA A LAS RELACIONES NACIONALES E INTERNACIONALES FRENTE A LOS PROCESOS DE GESTIÓN MIGRATORIA QUE SE DESARROLLAN EN EL PAÍS."/>
    <n v="80161504"/>
    <s v="Servicios de oficina"/>
    <n v="138000000"/>
    <n v="138000000"/>
    <n v="11223"/>
    <s v="A-02-02-02-008-003"/>
    <s v="Celebrado"/>
    <s v="En ejecución"/>
    <m/>
    <s v="CO-001-2023"/>
    <s v="Enero"/>
    <d v="2023-01-13T00:00:00"/>
    <s v="Prestación de Servicios Profesionales"/>
    <m/>
    <s v="Nivel Central"/>
    <s v="Bogotá D.C."/>
    <s v="LESLIE CATALINA ESPARZA NARANJO"/>
    <n v="52046198"/>
    <s v="-"/>
    <s v="COMUNICACIÓN SOCIAL"/>
    <s v="NO"/>
    <s v="No es mypime"/>
    <s v="N/A"/>
    <d v="1971-04-24T00:00:00"/>
    <n v="52"/>
    <n v="13723"/>
    <d v="2023-01-12T00:00:00"/>
    <n v="138000000"/>
    <m/>
    <m/>
    <m/>
    <n v="138000000"/>
    <s v="Si "/>
    <d v="2023-01-17T00:00:00"/>
    <s v="2 CUMPLIMIENTO"/>
    <d v="2023-01-17T00:00:00"/>
    <d v="2023-12-31T00:00:00"/>
    <n v="348"/>
    <s v="MARTHA EUGENIA RAMOS OSPINA"/>
    <n v="55164919"/>
    <m/>
    <m/>
    <m/>
    <m/>
    <m/>
    <m/>
    <m/>
    <m/>
    <n v="138000000"/>
    <m/>
    <m/>
    <m/>
    <m/>
    <m/>
    <m/>
    <m/>
    <m/>
    <m/>
    <n v="348"/>
    <m/>
    <m/>
  </r>
  <r>
    <s v="UNIDAD ADMINISTRATIVA ESPECIAL MIGRACIÓN COLOMBIA"/>
    <s v="900477235-6"/>
    <s v="Secop II"/>
    <n v="7"/>
    <x v="0"/>
    <s v="20232121413000001E"/>
    <s v="PCD-001-2023-1P"/>
    <x v="0"/>
    <x v="1"/>
    <s v="Contratación Directa"/>
    <s v="Prestación de Servicios Profesionales "/>
    <x v="1"/>
    <s v="PRESTACIÓN DE SERVICIOS PROFESIONALES CON AUTONOMÍA TÉCNICA Y ADMINISTRATIVA EN  A LA OFICINA ASESORA DE PLANEACIÓN EN TEMAS DE DIRECCIONAMIENTO Y PLANEACIÓN ESTRATÉGICA EN EL MARCO DEL PLAN NACIONAL DE DESARROLLO, POLÍTICAS PÚBLICAS Y POLÍTICAS DE GESTIÓN INSTITUCIONAL."/>
    <n v="80111600"/>
    <s v="Servicios de personal temporal"/>
    <n v="57500000"/>
    <n v="57500000"/>
    <n v="12223"/>
    <s v="C-1199-1002-11-0-1199060-02"/>
    <s v="Celebrado"/>
    <s v="En ejecución"/>
    <m/>
    <s v="CO-002-2023"/>
    <s v="Enero"/>
    <d v="2023-01-13T00:00:00"/>
    <s v="Prestación de Servicios Profesionales"/>
    <m/>
    <s v="Nivel Central"/>
    <s v="Bogotá D.C."/>
    <s v="ANA MARIA OCHOA TABARES"/>
    <n v="52528201"/>
    <s v="-"/>
    <s v="INGENIERIA INDUSTRIAL"/>
    <s v="NO"/>
    <s v="No es mypime"/>
    <s v="N/A"/>
    <d v="1979-07-05T00:00:00"/>
    <n v="44"/>
    <n v="15323"/>
    <d v="2023-01-16T00:00:00"/>
    <n v="57500000"/>
    <m/>
    <m/>
    <m/>
    <n v="57500000"/>
    <s v="Si "/>
    <d v="2023-01-13T00:00:00"/>
    <s v="2 CUMPLIMIENTO"/>
    <d v="2023-01-16T00:00:00"/>
    <d v="2023-12-31T00:00:00"/>
    <n v="349"/>
    <s v="JORGE ENRIQUE GARCIA LONDOÑO"/>
    <n v="79276876"/>
    <m/>
    <m/>
    <m/>
    <m/>
    <m/>
    <m/>
    <m/>
    <m/>
    <n v="57500000"/>
    <m/>
    <m/>
    <m/>
    <m/>
    <m/>
    <m/>
    <m/>
    <m/>
    <m/>
    <n v="349"/>
    <m/>
    <m/>
  </r>
  <r>
    <s v="UNIDAD ADMINISTRATIVA ESPECIAL MIGRACIÓN COLOMBIA"/>
    <s v="900477235-6"/>
    <s v="Secop II"/>
    <n v="45"/>
    <x v="0"/>
    <s v="20232501413000001E"/>
    <s v="PCD-015-2023-1TEC"/>
    <x v="0"/>
    <x v="1"/>
    <s v="Contratación Directa"/>
    <s v="Prestación de Servicios Profesionales "/>
    <x v="2"/>
    <s v="PRESTAR LOS SERVICIOS PROFESIONALES PARA DESARROLLAR ACTIVIDADES RELACIONADAS CON TEMAS CONTRACTUALES  DE LA OFICINA DE TECNOLOGÍA DE LA INFORMACIÓN DE MIGRACIÓN COLOMBIA."/>
    <s v="81111800;80111600"/>
    <s v="Servicios de sistemas y administración de componentes de sistemas - Servicios de personal temporal"/>
    <n v="80500000"/>
    <n v="80500000"/>
    <n v="11423"/>
    <s v="C-1199-1002-10-0-1199001-02"/>
    <s v="Celebrado"/>
    <s v="En ejecución"/>
    <m/>
    <s v="CO-005-2023"/>
    <s v="Enero"/>
    <d v="2023-01-13T00:00:00"/>
    <s v="Prestación de Servicios Profesionales"/>
    <m/>
    <s v="Nivel Central"/>
    <s v="Bogotá D.C."/>
    <s v="NORA CONSTANZA PARRA NARANJO"/>
    <n v="1057579290"/>
    <s v="-"/>
    <s v="INGENIERIA INDUSTRIAL"/>
    <s v="NO"/>
    <s v="No es mypime"/>
    <s v="N/A"/>
    <d v="1988-09-09T00:00:00"/>
    <n v="35"/>
    <n v="14423"/>
    <d v="2023-01-13T00:00:00"/>
    <n v="80500000"/>
    <m/>
    <m/>
    <m/>
    <n v="80500000"/>
    <s v="Si "/>
    <d v="2023-01-17T00:00:00"/>
    <s v="2 CUMPLIMIENTO"/>
    <d v="2023-01-16T00:00:00"/>
    <d v="2023-12-31T00:00:00"/>
    <n v="349"/>
    <s v="DIEGO EMILIO OJEDA MONCAYO"/>
    <n v="19498970"/>
    <m/>
    <m/>
    <m/>
    <m/>
    <m/>
    <m/>
    <m/>
    <m/>
    <n v="80500000"/>
    <m/>
    <m/>
    <m/>
    <m/>
    <m/>
    <m/>
    <m/>
    <m/>
    <m/>
    <n v="349"/>
    <m/>
    <m/>
  </r>
  <r>
    <s v="UNIDAD ADMINISTRATIVA ESPECIAL MIGRACIÓN COLOMBIA"/>
    <s v="900477235-6"/>
    <s v="Secop II"/>
    <n v="165"/>
    <x v="0"/>
    <s v="20236211413000001E"/>
    <s v="PCD-017-2023-47SYF"/>
    <x v="0"/>
    <x v="1"/>
    <s v="Contratación Directa"/>
    <s v="Prestación de Servicios Profesionales "/>
    <x v="3"/>
    <s v="PRESTACIÓN DE SERVICIOS PROFESIONALES  CON AUTONOMÍA TÉCNICA Y ADMINISTRATIVA EN TEMAS CONTABLES Y TRIBUTARIOS AL GRUPO FINANCIERO DE LA  SUBDIRECCIÓN ADMINISTRATIVA Y FINANCIERA, DE ACUERDO CON LAS CONDICIONES Y ESPECIFICACIONES TÉCNICAS DESCRITAS EN LOS ESTUDIOS PREVIOS."/>
    <s v="80161504;80111605"/>
    <s v="Servicios de oficina - Necesidades de dotación de personal financiero temporal"/>
    <n v="69000000"/>
    <n v="69000000"/>
    <n v="9523"/>
    <s v="A-02-02-02-008-003"/>
    <s v="Celebrado"/>
    <s v="En ejecución"/>
    <m/>
    <s v="CO-006-2023"/>
    <s v="Enero"/>
    <d v="2023-01-16T00:00:00"/>
    <s v="Prestación de Servicios Profesionales"/>
    <m/>
    <s v="Nivel Central"/>
    <s v="Bogotá D.C."/>
    <s v="OSCAR LIBARDO LANCHEROS BUITRAGO"/>
    <n v="80469022"/>
    <s v="-"/>
    <s v="CONTADURIA PÚBLICA"/>
    <s v="NO"/>
    <s v="No es mypime"/>
    <s v="N/A"/>
    <d v="1972-05-13T00:00:00"/>
    <n v="51"/>
    <n v="15423"/>
    <d v="2023-01-16T00:00:00"/>
    <n v="69000000"/>
    <m/>
    <m/>
    <m/>
    <n v="69000000"/>
    <s v="Si "/>
    <d v="2023-01-17T00:00:00"/>
    <s v="2 CUMPLIMIENTO"/>
    <d v="2023-01-17T00:00:00"/>
    <d v="2023-12-30T00:00:00"/>
    <n v="347"/>
    <s v="GUSTAVO ALBERTO PADILLA"/>
    <n v="19462757"/>
    <m/>
    <m/>
    <m/>
    <m/>
    <m/>
    <m/>
    <m/>
    <m/>
    <n v="69000000"/>
    <m/>
    <m/>
    <m/>
    <m/>
    <m/>
    <m/>
    <m/>
    <m/>
    <m/>
    <n v="347"/>
    <m/>
    <m/>
  </r>
  <r>
    <s v="UNIDAD ADMINISTRATIVA ESPECIAL MIGRACIÓN COLOMBIA"/>
    <s v="900477235-6"/>
    <s v="Secop II"/>
    <n v="167"/>
    <x v="0"/>
    <s v="20236231413000001E"/>
    <s v="PCD-002-2023-49SYF"/>
    <x v="0"/>
    <x v="1"/>
    <s v="Contratación Directa"/>
    <s v="Prestación de Servicios Profesionales "/>
    <x v="3"/>
    <s v="PRESTACIÓN DE SERVICIOS PROFESIONALES  CON AUTONOMÍA TÉCNICA Y ADMINISTRATIVA  PARA LA GESTIÓN CONTRACTUAL, ELABORACIÓN Y PUBLICACIÓN DE DOCUMENTOS ASIGNADOS EN LAS DIFERENTES MODALIDADES, ASI COMO LA GESTIÓN POSCONTRACTUAL DE LOS PROCESOS QUE SE ADELANTAN EN LA UEMC."/>
    <s v="80161504;80111605"/>
    <s v="Servicios de oficina - Necesidades de dotación de personal financiero temporal"/>
    <n v="92000000"/>
    <n v="92000000"/>
    <n v="9323"/>
    <s v="A-02-02-02-008-003"/>
    <s v="Celebrado"/>
    <s v="En ejecución"/>
    <m/>
    <s v="CO-018-2023"/>
    <s v="Enero"/>
    <d v="2023-01-16T00:00:00"/>
    <s v="Prestación de Servicios Profesionales"/>
    <m/>
    <s v="Nivel Central"/>
    <s v="Bogotá D.C."/>
    <s v="ALEJANDRA MARIA ARCOS MEDINA"/>
    <n v="1049617134"/>
    <s v="-"/>
    <s v="DERECHO"/>
    <s v="NO"/>
    <s v="No es mypime"/>
    <s v="N/A"/>
    <d v="1989-06-23T00:00:00"/>
    <n v="34"/>
    <n v="15023"/>
    <d v="2023-01-16T00:00:00"/>
    <n v="92000000"/>
    <m/>
    <m/>
    <m/>
    <n v="92000000"/>
    <s v="Si "/>
    <d v="2023-01-16T00:00:00"/>
    <s v="2 CUMPLIMIENTO"/>
    <d v="2023-01-16T00:00:00"/>
    <d v="2023-12-31T00:00:00"/>
    <n v="349"/>
    <s v="JOSE CLEMENTE GOMEZ ROMERO"/>
    <n v="74852744"/>
    <m/>
    <m/>
    <m/>
    <m/>
    <m/>
    <m/>
    <m/>
    <m/>
    <n v="92000000"/>
    <m/>
    <m/>
    <m/>
    <m/>
    <m/>
    <m/>
    <m/>
    <m/>
    <m/>
    <n v="349"/>
    <m/>
    <m/>
  </r>
  <r>
    <s v="UNIDAD ADMINISTRATIVA ESPECIAL MIGRACIÓN COLOMBIA"/>
    <s v="900477235-6"/>
    <s v="Secop II"/>
    <n v="166"/>
    <x v="1"/>
    <s v="20236211413000002E"/>
    <s v="PCD-003-2023-48SYF"/>
    <x v="0"/>
    <x v="2"/>
    <s v="Contratación Directa"/>
    <s v="Prestación de Servicios Profesionales "/>
    <x v="3"/>
    <s v="Prestación de servicios profesionales con autonomía técnica y administrativa para la realización del trámite de cuentas por pagar y obligaciones dentro del SIIF, así como la aplicación de retenciones y revisión de declaraciones tributarias a cargo de la entidad."/>
    <n v="80111600"/>
    <s v="Servicios de gestión, servicios profesionales de empresa y servicios administrativos"/>
    <n v="69000000"/>
    <n v="69000000"/>
    <n v="11723"/>
    <s v="A-02-02-02-008-003"/>
    <s v="Celebrado"/>
    <s v="En ejecución"/>
    <m/>
    <s v="CO-007-2023"/>
    <s v="Enero"/>
    <d v="2023-01-16T00:00:00"/>
    <s v="Prestación de Servicios Profesionales"/>
    <m/>
    <s v="Nivel Central"/>
    <s v="Bogotá D.C."/>
    <s v="CESAR DAVID CAPACHO PINEDA"/>
    <n v="1020779282"/>
    <m/>
    <m/>
    <m/>
    <m/>
    <m/>
    <d v="1995-03-21T00:00:00"/>
    <n v="28"/>
    <n v="15223"/>
    <d v="2023-01-16T00:00:00"/>
    <n v="69000000"/>
    <m/>
    <m/>
    <m/>
    <n v="69000000"/>
    <s v="Si "/>
    <d v="2023-01-16T00:00:00"/>
    <s v="2 CUMPLIMIENTO"/>
    <d v="2023-01-16T00:00:00"/>
    <d v="2023-12-30T00:00:00"/>
    <n v="348"/>
    <s v="GUSTAVO ALBERTO PADILLA"/>
    <n v="19462757"/>
    <m/>
    <m/>
    <m/>
    <m/>
    <m/>
    <m/>
    <m/>
    <m/>
    <n v="69000000"/>
    <m/>
    <m/>
    <m/>
    <m/>
    <m/>
    <m/>
    <m/>
    <m/>
    <m/>
    <n v="348"/>
    <m/>
    <m/>
  </r>
  <r>
    <s v="UNIDAD ADMINISTRATIVA ESPECIAL MIGRACIÓN COLOMBIA"/>
    <s v="900477235-6"/>
    <s v="Secop II"/>
    <n v="1"/>
    <x v="1"/>
    <s v="20232401413000001E"/>
    <s v="PCD-018-2023-4COM"/>
    <x v="0"/>
    <x v="2"/>
    <s v="Contratación Directa"/>
    <s v="Prestación de Servicios Profesionales "/>
    <x v="4"/>
    <s v="CONTRATAR LA PRESTACIÓN DE LOS SERVICIOS PROFESIONALES PARA LA OFICINA DE COMUNICACIONES, REALIZANDO LA GENERACIÓN DE CONTENIDOS DIGITALES EXTERNOS, PRODUCCIÓN DE EVENTOS CON GOBIERNO, GENERACIÓN DE CONTENIDOS WEB Y DISEÑO DE CAMPAÑAS INSTITUCIONALES"/>
    <n v="80161504"/>
    <s v="Servicios de gestión, servicios profesionales de empresa y servicios administrativos"/>
    <n v="86250000"/>
    <n v="86250000"/>
    <n v="13923"/>
    <s v="A-02-02-02-008-003"/>
    <s v="Celebrado"/>
    <s v="En ejecución"/>
    <m/>
    <s v="CO-016-2023"/>
    <s v="Enero"/>
    <d v="2023-01-13T00:00:00"/>
    <s v="Prestación de Servicios Profesionales"/>
    <m/>
    <s v="Nivel Central"/>
    <s v="Bogotá D.C."/>
    <s v="WILLIAM ANDRES TELLEZ CHAVEZ"/>
    <n v="91517570"/>
    <m/>
    <m/>
    <m/>
    <m/>
    <m/>
    <m/>
    <n v="123"/>
    <n v="15123"/>
    <d v="2023-01-16T00:00:00"/>
    <n v="86250000"/>
    <m/>
    <m/>
    <m/>
    <n v="86250000"/>
    <s v="Si "/>
    <d v="2023-01-16T00:00:00"/>
    <s v="2 CUMPLIMIENTO"/>
    <d v="2023-01-16T00:00:00"/>
    <d v="2023-12-31T00:00:00"/>
    <n v="349"/>
    <s v="MARITZA ROCÍO SERRANO VILLAMIL"/>
    <n v="393757630"/>
    <m/>
    <m/>
    <m/>
    <m/>
    <m/>
    <m/>
    <m/>
    <m/>
    <n v="86250000"/>
    <m/>
    <m/>
    <m/>
    <m/>
    <m/>
    <m/>
    <m/>
    <m/>
    <m/>
    <n v="349"/>
    <m/>
    <m/>
  </r>
  <r>
    <s v="UNIDAD ADMINISTRATIVA ESPECIAL MIGRACIÓN COLOMBIA"/>
    <s v="900477235-6"/>
    <s v="Secop II"/>
    <n v="12"/>
    <x v="2"/>
    <s v="20232121413000004E"/>
    <s v="PCD-005-2023-6P"/>
    <x v="0"/>
    <x v="2"/>
    <s v="Contratación Directa"/>
    <s v="Prestación de Servicios Profesionales "/>
    <x v="1"/>
    <s v="PRESTACIÓN DE SERVICIOS PROFESIONALES CON AUTONOMÍA TÉCNICA Y ADMINISTRATIVA EN LA OFICINA ASESORA DE PLANEACIÓN PARA LA  INVESTIGACIÓN DE LAS CAUSAS Y CONSECUENCIAS SOBRE LOS FENÓMENOS Y DINÁMICA MIGRATORIA."/>
    <s v="80161500;801015;80121704;80101605;93141509;93141510"/>
    <s v="Servicios de apoyo gerencial"/>
    <n v="69000000"/>
    <n v="69000000"/>
    <n v="10423"/>
    <s v="C-1199-1002-11-0-1199054-02"/>
    <s v="Celebrado"/>
    <s v="En ejecución"/>
    <m/>
    <s v="CO-010-2023"/>
    <s v="Enero"/>
    <d v="2023-01-18T00:00:00"/>
    <s v="Prestación de Servicios Profesionales"/>
    <m/>
    <s v="Nivel Central"/>
    <s v="Bogotá D.C."/>
    <s v="MARÍA EUGENIA RESTREPO LONDOÑO"/>
    <n v="42867450"/>
    <m/>
    <s v="Sociología"/>
    <s v="NO"/>
    <m/>
    <m/>
    <n v="21273"/>
    <e v="#REF!"/>
    <n v="20023"/>
    <d v="2023-01-19T00:00:00"/>
    <n v="69000000"/>
    <m/>
    <m/>
    <m/>
    <n v="69000000"/>
    <s v="Si "/>
    <d v="2023-01-19T00:00:00"/>
    <s v="2 CUMPLIMIENTO"/>
    <d v="2023-01-20T00:00:00"/>
    <d v="2023-12-31T00:00:00"/>
    <n v="345"/>
    <s v="JORGE ENRIQUE GARCIA LONDOÑO"/>
    <n v="79276876"/>
    <m/>
    <m/>
    <m/>
    <m/>
    <m/>
    <m/>
    <m/>
    <m/>
    <e v="#REF!"/>
    <m/>
    <m/>
    <m/>
    <m/>
    <m/>
    <m/>
    <m/>
    <m/>
    <m/>
    <n v="345"/>
    <m/>
    <m/>
  </r>
  <r>
    <s v="UNIDAD ADMINISTRATIVA ESPECIAL MIGRACIÓN COLOMBIA"/>
    <s v="900477235-6"/>
    <s v="Secop II"/>
    <n v="9"/>
    <x v="2"/>
    <s v="20232121410000002E"/>
    <s v="PCD-006-2023-3P"/>
    <x v="0"/>
    <x v="2"/>
    <s v="Contratación Directa"/>
    <s v="Prestación de Servicios Profesionales "/>
    <x v="1"/>
    <s v="PRESTACIÓN DE SERVICIOS PROFESIONALES CON AUTONOMÍA TÉCNICA Y ADMINISTRATIVA A LA OFICINA ASESORA DE PLANEACIÓN, PARA LA IMPLEMENTACIÓN DE LA POLÍTICA DE GESTIÓN DE LA INFORMACIÓN ESTADÍSTICA DE LA ENTIDAD."/>
    <s v="80161500;80121704;80101605;81112006;81112007;811315"/>
    <s v="Servicios de apoyo gerencial"/>
    <n v="69000000"/>
    <n v="69000000"/>
    <n v="12323"/>
    <s v="C-1199-1002-11-0-1199054-02"/>
    <s v="Celebrado"/>
    <s v="En ejecución"/>
    <m/>
    <s v="CO-012-2023"/>
    <s v="Enero"/>
    <d v="2023-01-17T00:00:00"/>
    <s v="Prestación de Servicios Profesionales"/>
    <m/>
    <s v="Nivel Central"/>
    <s v="Bogotá D.C."/>
    <s v="ANDRES ALEJANDRO ORJUELA TRUJILLO"/>
    <n v="93461864"/>
    <m/>
    <s v="Matemático con énfasis en Estadística"/>
    <s v="NO"/>
    <m/>
    <m/>
    <n v="31076"/>
    <e v="#REF!"/>
    <n v="16523"/>
    <d v="2023-01-17T00:00:00"/>
    <n v="69000000"/>
    <m/>
    <m/>
    <m/>
    <n v="69000000"/>
    <s v="Si "/>
    <d v="2023-01-17T00:00:00"/>
    <s v="2 CUMPLIMIENTO"/>
    <d v="2023-01-18T00:00:00"/>
    <d v="2023-12-31T00:00:00"/>
    <n v="347"/>
    <s v="JORGE ENRIQUE GARCIA LONDOÑO"/>
    <n v="79276876"/>
    <m/>
    <m/>
    <m/>
    <m/>
    <m/>
    <m/>
    <m/>
    <m/>
    <e v="#REF!"/>
    <m/>
    <m/>
    <m/>
    <m/>
    <m/>
    <m/>
    <m/>
    <m/>
    <m/>
    <n v="347"/>
    <m/>
    <m/>
  </r>
  <r>
    <s v="UNIDAD ADMINISTRATIVA ESPECIAL MIGRACIÓN COLOMBIA"/>
    <s v="900477235-6"/>
    <s v="Secop II"/>
    <n v="14"/>
    <x v="2"/>
    <s v="20232121413000005E"/>
    <s v="PCD-013-2023-8P"/>
    <x v="0"/>
    <x v="2"/>
    <s v="Contratación Directa"/>
    <s v="Prestación de Servicios Profesionales "/>
    <x v="1"/>
    <s v="PRESTACIÓN DE SERVICIOS PROFESIONALES CON AUTONOMÍA TÉCNICA Y ADMINISTRATIVA EN LA OFICINA ASESORA DE PLANEACIÓN, PARA LA ATENCIÓN SOCIAL A LA POBLACIÓN MIGRANTE EN EL TERRITORIO NACIONAL."/>
    <s v="801615;80121704;80101605;93141507;93141503"/>
    <s v="Servicios de apoyo gerencial"/>
    <n v="57500000"/>
    <n v="57500000"/>
    <n v="11123"/>
    <s v="C-1199-1002-11-0-1199054-02"/>
    <s v="Celebrado"/>
    <s v="En ejecución"/>
    <m/>
    <s v="CO-011-2023"/>
    <s v="Enero"/>
    <d v="2023-01-17T00:00:00"/>
    <s v="Prestación de Servicios Profesionales"/>
    <m/>
    <s v="Nivel Central"/>
    <s v="Bogotá D.C."/>
    <s v="DEICY YOHANA PARADA PARDO"/>
    <n v="1019022177"/>
    <m/>
    <s v="Trabajadora Social"/>
    <s v="NO"/>
    <m/>
    <m/>
    <n v="32190"/>
    <e v="#REF!"/>
    <n v="16623"/>
    <d v="2023-01-17T00:00:00"/>
    <n v="57500000"/>
    <m/>
    <m/>
    <m/>
    <n v="57500000"/>
    <s v="Si "/>
    <d v="2023-01-19T00:00:00"/>
    <s v="2 CUMPLIMIENTO"/>
    <d v="2023-01-17T00:00:00"/>
    <d v="2023-12-31T00:00:00"/>
    <n v="348"/>
    <s v="JORGE ENRIQUE GARCIA LONDOÑO"/>
    <n v="79276876"/>
    <m/>
    <m/>
    <m/>
    <m/>
    <m/>
    <m/>
    <m/>
    <m/>
    <e v="#REF!"/>
    <m/>
    <m/>
    <m/>
    <m/>
    <m/>
    <m/>
    <m/>
    <m/>
    <m/>
    <n v="348"/>
    <m/>
    <m/>
  </r>
  <r>
    <s v="UNIDAD ADMINISTRATIVA ESPECIAL MIGRACIÓN COLOMBIA"/>
    <s v="900477235-6"/>
    <s v="Secop II"/>
    <n v="116"/>
    <x v="0"/>
    <s v="20236001413000003E"/>
    <s v="PCD-019-2023-2SG"/>
    <x v="0"/>
    <x v="2"/>
    <s v="Contratación Directa"/>
    <s v="Prestación de Servicios Profesionales "/>
    <x v="5"/>
    <s v="PRESTAR LOS SERVICIOS PROFESIONALES ESPECIALIZADOS CON AUTONOMÍA TÉCNICA Y ADMINISTRATIVA PARA APOYAR A LA SECRETARIA GENERAL DE MIGRACIÓN COLOMBIA DE ACUERDO CON LAS CONDICIONES SEÑALADAS Y ESPECIFICACIONES TÉCNICAS DESCRITAS EN LOS ESTUDIOS PREVIOS."/>
    <n v="80161504"/>
    <s v="Servicios de oficina"/>
    <n v="80000000"/>
    <n v="80000000"/>
    <n v="12823"/>
    <s v="A-02-02-02-008-003"/>
    <s v="Celebrado"/>
    <s v="En ejecución"/>
    <m/>
    <s v="CO-009-2023"/>
    <s v="Enero"/>
    <d v="2023-01-17T00:00:00"/>
    <s v="Prestación de Servicios Profesionales"/>
    <m/>
    <s v="Nivel Central"/>
    <s v="Bogotá D.C."/>
    <s v="LIZETH ISABOT CORTES  ESPITIA"/>
    <n v="1026271334"/>
    <s v="-"/>
    <s v="DERECHO"/>
    <s v="NO"/>
    <s v="No es mypime"/>
    <s v="N/A"/>
    <d v="1990-11-01T00:00:00"/>
    <n v="33"/>
    <n v="19323"/>
    <d v="2023-01-18T00:00:00"/>
    <n v="80000000"/>
    <m/>
    <m/>
    <m/>
    <n v="80000000"/>
    <s v="Si "/>
    <d v="2023-01-18T00:00:00"/>
    <s v="2 CUMPLIMIENTO"/>
    <d v="2023-01-19T00:00:00"/>
    <d v="2023-11-19T00:00:00"/>
    <n v="304"/>
    <s v="RIGOBERTO NIÑO CORREDOR"/>
    <n v="79321317"/>
    <m/>
    <m/>
    <m/>
    <m/>
    <m/>
    <m/>
    <m/>
    <m/>
    <n v="80000000"/>
    <m/>
    <m/>
    <m/>
    <m/>
    <m/>
    <m/>
    <m/>
    <m/>
    <m/>
    <n v="304"/>
    <m/>
    <m/>
  </r>
  <r>
    <s v="UNIDAD ADMINISTRATIVA ESPECIAL MIGRACIÓN COLOMBIA"/>
    <s v="900477235-6"/>
    <s v="Secop II"/>
    <n v="164"/>
    <x v="0"/>
    <s v="20236251413000001E"/>
    <s v="PCD-024-2023-46SYF"/>
    <x v="0"/>
    <x v="2"/>
    <s v="Contratación Directa"/>
    <s v="Prestación de Servicios Profesionales "/>
    <x v="3"/>
    <s v="PRESTACIÓN DE SERVICIOS PROFESIONALES CON AUTONOMÍA TÉCNICA Y ADMINISTRATIVA  EN TEMAS RELACIONADOS CON LA GESTIÓN DE CARTERA Y ESTRUCTURACIÓN DE PROCESOS,  AL GRUPO DE SOPORTE A LA GESTIÓN REGIONAL  DE LA  _x000a_SUBDIRECCIÓN ADMINISTRATIVA Y FINANCIERA,  DE ACUERDO CON LAS CONDICIONES Y ESPECIFICACIONES TÉCNICAS DESCRITAS EN LOS ESTUDIOS PREVIOS."/>
    <n v="80161504"/>
    <s v="Servicios de oficina"/>
    <n v="69000000"/>
    <n v="69000000"/>
    <n v="13723"/>
    <s v="A-02-02-02-008-003"/>
    <s v="Celebrado"/>
    <s v="En ejecución"/>
    <m/>
    <s v="CO-021-2023"/>
    <s v="Enero"/>
    <d v="2023-01-16T00:00:00"/>
    <s v="Prestación de Servicios Profesionales"/>
    <m/>
    <s v="Nivel Central"/>
    <s v="Bogotá D.C."/>
    <s v="EMIGDIO NEL TRIANA LOPEZ"/>
    <n v="19484940"/>
    <s v="-"/>
    <s v="CONTADURIA PÚBLICA"/>
    <s v="NO"/>
    <s v="No es mypime"/>
    <s v="N/A"/>
    <d v="1962-07-29T00:00:00"/>
    <n v="61"/>
    <n v="16423"/>
    <d v="2023-01-17T00:00:00"/>
    <n v="69000000"/>
    <m/>
    <m/>
    <m/>
    <n v="69000000"/>
    <s v="Si "/>
    <d v="2023-01-18T00:00:00"/>
    <s v="2 CUMPLIMIENTO"/>
    <d v="2023-01-18T00:00:00"/>
    <d v="2023-12-31T00:00:00"/>
    <n v="347"/>
    <s v="CLAUDIA PATRICIA APONTE BELEÑO"/>
    <n v="39759737"/>
    <m/>
    <m/>
    <m/>
    <m/>
    <m/>
    <m/>
    <m/>
    <m/>
    <n v="69000000"/>
    <m/>
    <m/>
    <m/>
    <m/>
    <m/>
    <m/>
    <m/>
    <m/>
    <m/>
    <n v="347"/>
    <m/>
    <m/>
  </r>
  <r>
    <s v="UNIDAD ADMINISTRATIVA ESPECIAL MIGRACIÓN COLOMBIA"/>
    <s v="900477235-6"/>
    <s v="Secop II"/>
    <n v="271"/>
    <x v="0"/>
    <s v="20235051413000001E"/>
    <s v="PCD-016-2023-1V"/>
    <x v="0"/>
    <x v="2"/>
    <s v="Contratación Directa"/>
    <s v="Prestación de Servicios Profesionales "/>
    <x v="6"/>
    <s v="PRESTACIÓN DE SERVICIOS PROFESIONALES CON AUTONOMÍA TÉCNICA Y ADMINISTRATIVA DE APOYO A LA SUBDIRECCIÓN DE VERIFICACIONES EN ASUNTOS DE ESTADÍSTICA Y VISUALIZACIÓN DE DATOS"/>
    <s v="81101508;80161504;80121704;81112002;"/>
    <s v="Ingeniería arquitectónica - Servicios de oficina - Servicios legales sobre contratos - Servicios de procesamiento o preparación de dato"/>
    <n v="69000000"/>
    <n v="69000000"/>
    <n v="4223"/>
    <s v="A-02-02-02-008-003"/>
    <s v="Celebrado"/>
    <s v="En ejecución"/>
    <m/>
    <s v="CO-008-2023"/>
    <s v="Enero"/>
    <d v="2023-01-16T00:00:00"/>
    <s v="Prestación de Servicios Profesionales"/>
    <m/>
    <s v="Nivel Central"/>
    <s v="Bogotá D.C."/>
    <s v="JOAQUÍN ANTONIO RODRÍGUEZ VILLEGAS"/>
    <n v="78750941"/>
    <s v="-"/>
    <s v="ESTADISTICA"/>
    <s v="NO"/>
    <s v="No es mypime"/>
    <s v="N/A"/>
    <d v="1976-11-13T00:00:00"/>
    <n v="47"/>
    <n v="15823"/>
    <d v="2023-01-16T00:00:00"/>
    <n v="69000000"/>
    <m/>
    <m/>
    <m/>
    <n v="69000000"/>
    <s v="Si "/>
    <d v="2023-01-16T00:00:00"/>
    <s v="2 CUMPLIMIENTO"/>
    <d v="2023-01-17T00:00:00"/>
    <d v="2023-12-31T00:00:00"/>
    <n v="348"/>
    <s v="JAIRO DANILO GUTIERREZ CASTILLO"/>
    <n v="7183645"/>
    <m/>
    <m/>
    <m/>
    <m/>
    <m/>
    <m/>
    <m/>
    <m/>
    <n v="69000000"/>
    <m/>
    <m/>
    <m/>
    <m/>
    <m/>
    <m/>
    <m/>
    <m/>
    <m/>
    <n v="348"/>
    <m/>
    <m/>
  </r>
  <r>
    <s v="UNIDAD ADMINISTRATIVA ESPECIAL MIGRACIÓN COLOMBIA"/>
    <s v="900477235-6"/>
    <s v="Secop II"/>
    <n v="205"/>
    <x v="3"/>
    <s v="20236221413000002E"/>
    <s v="PCD-011-2023-87SYF"/>
    <x v="0"/>
    <x v="2"/>
    <s v="Contratación Directa"/>
    <s v="Prestación de servicios Profesionales"/>
    <x v="7"/>
    <s v="Prestación de servicios profesionales con autonomía técnica y administrativa para la gestión transversal del modelo integrado de gestión de los procesos a cargo de la subdirección administrativa y financiera, en especial lo concerniente a la gestión documental de uaemc."/>
    <n v="80161500"/>
    <s v="Serv icios de Apoyo Gerencial."/>
    <n v="44000000"/>
    <n v="44000000"/>
    <n v="9723"/>
    <s v="C-1199-1002-8-0-1199018-02"/>
    <s v="Celebrado"/>
    <s v="En ejecución"/>
    <m/>
    <s v="CO-003-2023"/>
    <s v="Enero"/>
    <d v="2023-01-17T00:00:00"/>
    <s v="Prestación de Servicios Profesionales"/>
    <m/>
    <s v="Nivel Central "/>
    <s v="Bogotá D.C."/>
    <s v="FREDDY STEVE CAMARGO BARRETO"/>
    <n v="80880247"/>
    <m/>
    <m/>
    <m/>
    <m/>
    <m/>
    <m/>
    <n v="123"/>
    <n v="15523"/>
    <d v="2023-01-16T00:00:00"/>
    <n v="44000000"/>
    <m/>
    <m/>
    <m/>
    <n v="44000000"/>
    <s v="SI"/>
    <d v="2023-01-17T00:00:00"/>
    <s v="2 CUMPLIMIENTO"/>
    <d v="2023-01-19T00:00:00"/>
    <d v="2023-12-31T00:00:00"/>
    <n v="346"/>
    <s v="PEREZ ARISMENDI ANDREA"/>
    <n v="52808564"/>
    <m/>
    <m/>
    <m/>
    <m/>
    <m/>
    <m/>
    <m/>
    <m/>
    <n v="44000000"/>
    <m/>
    <m/>
    <m/>
    <m/>
    <m/>
    <m/>
    <m/>
    <m/>
    <m/>
    <n v="346"/>
    <m/>
    <m/>
  </r>
  <r>
    <s v="UNIDAD ADMINISTRATIVA ESPECIAL MIGRACIÓN COLOMBIA"/>
    <s v="900477235-6"/>
    <s v="Secop II"/>
    <n v="204"/>
    <x v="3"/>
    <s v="20236221413000001E"/>
    <s v="PCD-014-2023-86SYF"/>
    <x v="0"/>
    <x v="2"/>
    <s v="Contratación Directa"/>
    <s v="Prestación de servicios Profesionales"/>
    <x v="7"/>
    <s v="Prestación de serv icios profesionales con autonomía técnica y administrativ a en el proceso de gestión documental dando cumplimiento a lo establecido por el archivo general de la nación y las necesidades de la uaemc."/>
    <n v="80161500"/>
    <s v="Serv icios de Apoyo Gerencial."/>
    <n v="92000000"/>
    <n v="92000000"/>
    <n v="12423"/>
    <s v="C-1199-1002-8-0-1199018-02"/>
    <s v="Celebrado"/>
    <s v="En ejecución"/>
    <m/>
    <s v="CO-004-2023"/>
    <s v="Enero"/>
    <d v="2023-01-17T00:00:00"/>
    <s v="Prestación de Servicios Profesionales"/>
    <m/>
    <s v="Nivel Central "/>
    <s v="Bogotá D.C."/>
    <s v="MARIA FERNANDA AGUIRRE GARZÓN"/>
    <n v="1022367781"/>
    <m/>
    <m/>
    <m/>
    <m/>
    <m/>
    <m/>
    <n v="123"/>
    <n v="15623"/>
    <d v="2023-01-16T00:00:00"/>
    <n v="92000000"/>
    <m/>
    <m/>
    <m/>
    <n v="92000000"/>
    <s v="SI"/>
    <d v="2023-01-17T00:00:00"/>
    <s v="2 CUMPLIMIENTO"/>
    <d v="2023-01-18T00:00:00"/>
    <d v="2023-12-31T00:00:00"/>
    <n v="347"/>
    <s v="PEREZ ARISMENDI ANDREA"/>
    <n v="52808564"/>
    <m/>
    <m/>
    <m/>
    <m/>
    <m/>
    <m/>
    <m/>
    <m/>
    <n v="92000000"/>
    <m/>
    <m/>
    <m/>
    <m/>
    <m/>
    <m/>
    <m/>
    <m/>
    <m/>
    <n v="347"/>
    <m/>
    <m/>
  </r>
  <r>
    <s v="UNIDAD ADMINISTRATIVA ESPECIAL MIGRACIÓN COLOMBIA"/>
    <s v="900477235-6"/>
    <s v="Secop II"/>
    <n v="209"/>
    <x v="3"/>
    <s v="20236211413000003E"/>
    <s v="PCD-023-2023-91SYF"/>
    <x v="0"/>
    <x v="2"/>
    <s v="Contratación Directa"/>
    <s v="Prestación de servicios Profesionales"/>
    <x v="8"/>
    <s v="Contratar la prestación de servicios profesionales con autonomía técnica y administrativa para gestionar, acompañar y orientar jurídicamente a la subdirección administrativa y financiera de Migración Colombia en la aplicación y desarrollo de normas e instrumentos jurídico - legales sobre temas administrativos y contractuales entre otros, en especial lo relacionado con el proyecto de inversión de infraestructura de la UAEMC."/>
    <n v="80161500"/>
    <s v="Serv icios de Apoyo Gerencial."/>
    <n v="120750000"/>
    <n v="120750000"/>
    <n v="10723"/>
    <s v=" C -1103-1002-2-0-1103002-02"/>
    <s v="Celebrado"/>
    <s v="En ejecución"/>
    <m/>
    <s v="CO-015-2023"/>
    <s v="Enero"/>
    <d v="2023-01-16T00:00:00"/>
    <s v="Prestación de Servicios Profesionales"/>
    <m/>
    <s v="Nivel Central "/>
    <s v="Bogotá D.C."/>
    <s v="SANDRA MILENA MORENO ACEVEDO"/>
    <n v="52355684"/>
    <m/>
    <m/>
    <m/>
    <m/>
    <m/>
    <m/>
    <n v="123"/>
    <n v="15723"/>
    <d v="2023-01-16T00:00:00"/>
    <n v="120750000"/>
    <m/>
    <m/>
    <m/>
    <n v="120750000"/>
    <s v="SI"/>
    <d v="2023-01-17T00:00:00"/>
    <s v="2 CUMPLIMIENTO"/>
    <d v="2023-01-17T00:00:00"/>
    <d v="2023-12-31T00:00:00"/>
    <n v="348"/>
    <s v="PEREZ ARISMENDI ANDREA"/>
    <n v="52808564"/>
    <m/>
    <m/>
    <m/>
    <m/>
    <m/>
    <m/>
    <m/>
    <m/>
    <n v="120750000"/>
    <m/>
    <m/>
    <m/>
    <m/>
    <m/>
    <m/>
    <m/>
    <m/>
    <m/>
    <n v="348"/>
    <m/>
    <m/>
  </r>
  <r>
    <s v="UNIDAD ADMINISTRATIVA ESPECIAL MIGRACIÓN COLOMBIA"/>
    <s v="900477235-6"/>
    <s v="Secop II"/>
    <n v="98"/>
    <x v="1"/>
    <s v="20232501413000011E"/>
    <s v="PCD-025-2023-60TEC"/>
    <x v="0"/>
    <x v="3"/>
    <s v="Contratación Directa"/>
    <s v="Prestación de Servicios Profesionales "/>
    <x v="2"/>
    <s v="Contratar la prestación de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
    <n v="80161500"/>
    <s v="Servicios de gestión, servicios profesionales de empresa y servicios administrativos"/>
    <n v="86250000"/>
    <n v="86250000"/>
    <n v="13223"/>
    <s v="C-1199-1002-10-0-1199001-02"/>
    <s v="Celebrado"/>
    <s v="En ejecución"/>
    <m/>
    <s v="CO-023-2023"/>
    <s v="Enero"/>
    <d v="2023-01-18T00:00:00"/>
    <s v="Prestación de Servicios Profesionales"/>
    <m/>
    <s v="Nivel Central"/>
    <s v="Bogotá D.C."/>
    <s v="SERGIO ALEJANDRO ROMERO SARMIENTO"/>
    <n v="1010218162"/>
    <m/>
    <m/>
    <m/>
    <m/>
    <m/>
    <m/>
    <n v="123"/>
    <n v="19223"/>
    <d v="2023-01-18T00:00:00"/>
    <n v="86250000"/>
    <m/>
    <m/>
    <m/>
    <n v="86250000"/>
    <s v="Si "/>
    <d v="2023-01-18T00:00:00"/>
    <s v="2 CUMPLIMIENTO"/>
    <d v="2023-01-18T00:00:00"/>
    <d v="2023-12-31T00:00:00"/>
    <n v="347"/>
    <s v="DIEGO EMILIO OJEDA MONCAYO"/>
    <n v="19498970"/>
    <m/>
    <m/>
    <m/>
    <m/>
    <m/>
    <m/>
    <m/>
    <m/>
    <n v="86250000"/>
    <m/>
    <m/>
    <m/>
    <m/>
    <m/>
    <m/>
    <m/>
    <m/>
    <m/>
    <n v="347"/>
    <m/>
    <m/>
  </r>
  <r>
    <s v="UNIDAD ADMINISTRATIVA ESPECIAL MIGRACIÓN COLOMBIA"/>
    <s v="900477235-6"/>
    <s v="Secop II"/>
    <n v="30"/>
    <x v="1"/>
    <s v="20232401413000004E"/>
    <s v="PCD-027-2023-2COM"/>
    <x v="0"/>
    <x v="3"/>
    <s v="Contratación Directa"/>
    <s v="Prestacion de Servicios de Apoyo a la Gestion"/>
    <x v="4"/>
    <s v="Contratar la prestación de los servicios técnicos y administrativos como apoyo a la gestión de la Oficina de Comunicaciones para el manejo de las redes sociales de la entidad."/>
    <n v="80161504"/>
    <s v="Servicios de gestión, servicios profesionales de empresa y servicios administrativos"/>
    <n v="63250000"/>
    <n v="63250000"/>
    <n v="13523"/>
    <s v="A-02-02-02-008-003"/>
    <s v="Celebrado"/>
    <s v="En ejecución"/>
    <m/>
    <s v="CO-024-2023"/>
    <s v="Enero"/>
    <d v="2023-01-18T00:00:00"/>
    <s v="Prestacion de Servicios de Apoyo a la Gestion"/>
    <m/>
    <s v="Nivel Central"/>
    <s v="Bogotá D.C."/>
    <s v="JAVIER ENRIQUE GONZÁLEZ GONZÁLEZ"/>
    <n v="79865008"/>
    <m/>
    <m/>
    <m/>
    <m/>
    <m/>
    <m/>
    <n v="123"/>
    <n v="18723"/>
    <d v="2023-01-18T00:00:00"/>
    <n v="63250000"/>
    <m/>
    <m/>
    <m/>
    <n v="63250000"/>
    <s v="Si "/>
    <d v="2023-01-18T00:00:00"/>
    <s v="2 CUMPLIMIENTO"/>
    <d v="2023-01-18T00:00:00"/>
    <d v="2023-12-31T00:00:00"/>
    <n v="347"/>
    <s v="MARITZA ROCÍO SERRANO VILLAMIL"/>
    <n v="393757630"/>
    <m/>
    <m/>
    <m/>
    <m/>
    <m/>
    <m/>
    <m/>
    <m/>
    <n v="63250000"/>
    <m/>
    <m/>
    <m/>
    <m/>
    <m/>
    <m/>
    <m/>
    <m/>
    <m/>
    <n v="347"/>
    <m/>
    <m/>
  </r>
  <r>
    <s v="UNIDAD ADMINISTRATIVA ESPECIAL MIGRACIÓN COLOMBIA"/>
    <s v="900477235-6"/>
    <s v="Secop II"/>
    <n v="2"/>
    <x v="2"/>
    <s v="20236011413000001E"/>
    <s v="PCD-029-2023-2D"/>
    <x v="0"/>
    <x v="3"/>
    <s v="Contratación Directa"/>
    <s v="Prestación de Servicios Profesionales "/>
    <x v="1"/>
    <s v="PRESTACIÖN DE SERVICIOS PROFESIONALES CON AUTONOMÍA TÉCNICA Y ADMINISTRATIVA PARA APOYAR LA GESTIÓN DE LA DIRECCIÓN GENERAL DE MIGRACIÓN COLOMBIA, DE ACUERDO CON LAS CONDICIONES SEÑALADAS Y ESPECIFICACIONES TÉCNICAS DESCRITAS EN LOS ESTUDIOS PREVIOS."/>
    <s v="80161504"/>
    <s v="Servicios de oficina"/>
    <n v="71500000"/>
    <n v="71500000"/>
    <n v="11323"/>
    <s v="A-02-02-02-008-003"/>
    <s v="Celebrado"/>
    <s v="En ejecución"/>
    <m/>
    <s v="CO-014-2023"/>
    <s v="Enero"/>
    <d v="2023-01-17T00:00:00"/>
    <s v="Prestación de Servicios Profesionales"/>
    <m/>
    <s v="Nivel Central"/>
    <s v="Bogotá D.C."/>
    <s v="ADRIANA MARCELA ROSAS SUAREZ "/>
    <n v="1026262941"/>
    <m/>
    <s v="GOBIERNO Y RELACIONES INTERNACIONALES"/>
    <s v="NO"/>
    <m/>
    <m/>
    <n v="32243"/>
    <e v="#REF!"/>
    <n v="17423"/>
    <d v="2023-01-17T00:00:00"/>
    <n v="71500000"/>
    <m/>
    <m/>
    <m/>
    <n v="71500000"/>
    <s v="Si "/>
    <d v="2023-01-19T00:00:00"/>
    <s v="2 CUMPLIMIENTO"/>
    <d v="2023-01-19T00:00:00"/>
    <d v="2023-12-31T00:00:00"/>
    <n v="346"/>
    <s v="MARÍA PAULA AVILA GONZALEZ"/>
    <n v="52619262"/>
    <m/>
    <m/>
    <m/>
    <m/>
    <m/>
    <m/>
    <m/>
    <m/>
    <e v="#REF!"/>
    <m/>
    <m/>
    <m/>
    <m/>
    <m/>
    <m/>
    <m/>
    <m/>
    <m/>
    <n v="346"/>
    <m/>
    <m/>
  </r>
  <r>
    <s v="UNIDAD ADMINISTRATIVA ESPECIAL MIGRACIÓN COLOMBIA"/>
    <s v="900477235-6"/>
    <s v="Secop II"/>
    <n v="207"/>
    <x v="3"/>
    <s v="20236211413000004E"/>
    <s v="PCD-032-2023-89SYF"/>
    <x v="0"/>
    <x v="3"/>
    <s v="Contratación Directa"/>
    <s v="Prestación de servicios Profesionales"/>
    <x v="8"/>
    <s v="Prestar los servicios profesionales con autonomía técnica y administrativa dentro del grupo de gestión administrativa, en lo relacionado con la etapa precontractual, así como la evaluación de procesos de infraestructura"/>
    <n v="80161500"/>
    <s v="Serv icios de Apoyo Gerencial."/>
    <n v="69000000"/>
    <n v="69000000"/>
    <n v="10823"/>
    <s v="C-1103-1002-2-0-1103002-02"/>
    <s v="Celebrado"/>
    <s v="En ejecución"/>
    <m/>
    <s v="CO-017-2023"/>
    <s v="Enero"/>
    <d v="2023-01-16T00:00:00"/>
    <s v="Prestación de Servicios Profesionales"/>
    <m/>
    <s v="Nivel Central "/>
    <s v="Bogotá D.C."/>
    <s v="HERNANDO ERNESTO GONZÁLEZ ATUESTA"/>
    <n v="79463678"/>
    <m/>
    <m/>
    <m/>
    <m/>
    <m/>
    <m/>
    <n v="123"/>
    <n v="16723"/>
    <d v="2023-01-17T00:00:00"/>
    <n v="69000000"/>
    <m/>
    <m/>
    <m/>
    <n v="69000000"/>
    <s v="SI"/>
    <d v="2023-01-18T00:00:00"/>
    <s v="2 CUMPLIMIENTO"/>
    <d v="2023-01-18T00:00:00"/>
    <d v="2023-12-31T00:00:00"/>
    <n v="347"/>
    <s v="CAMARGO SEGURA ELIANA CRISTINA"/>
    <n v="52452907"/>
    <m/>
    <m/>
    <m/>
    <m/>
    <m/>
    <m/>
    <m/>
    <m/>
    <n v="69000000"/>
    <m/>
    <m/>
    <m/>
    <m/>
    <m/>
    <m/>
    <m/>
    <m/>
    <m/>
    <n v="347"/>
    <m/>
    <m/>
  </r>
  <r>
    <s v="UNIDAD ADMINISTRATIVA ESPECIAL MIGRACIÓN COLOMBIA"/>
    <s v="900477235-6"/>
    <s v="Secop II"/>
    <n v="56"/>
    <x v="1"/>
    <s v="20232501413000012E"/>
    <s v="PCD-020-2023-12TEC"/>
    <x v="0"/>
    <x v="4"/>
    <s v="Contratación Directa"/>
    <s v="Prestación de Servicios Profesionales "/>
    <x v="2"/>
    <s v="Contratar la prestación de los servicios profesionales para administrar el centro de datos de la unidad_x000a_administrativa especial Migración Colombia."/>
    <n v="81111800"/>
    <s v="Servicios Basados en Ingeniería, Investigación y Tecnología"/>
    <n v="115000000"/>
    <n v="115000000"/>
    <n v="13123"/>
    <s v="C-1199-1002-10-0-1199001-02"/>
    <s v="Celebrado"/>
    <s v="En ejecución"/>
    <m/>
    <s v="CO-027-2023"/>
    <s v="Enero"/>
    <d v="2023-01-18T00:00:00"/>
    <s v="Prestación de Servicios Profesionales"/>
    <m/>
    <s v="Nivel Central"/>
    <s v="Bogotá D.C."/>
    <s v="JAIME ALEXANDER MÉNDEZ PULECIO"/>
    <n v="1010218162"/>
    <m/>
    <m/>
    <m/>
    <m/>
    <m/>
    <m/>
    <n v="123"/>
    <n v="19123"/>
    <d v="2023-01-18T00:00:00"/>
    <n v="115000000"/>
    <m/>
    <m/>
    <m/>
    <n v="115000000"/>
    <s v="Si "/>
    <d v="2023-01-18T00:00:00"/>
    <s v="2 CUMPLIMIENTO"/>
    <d v="2023-01-18T00:00:00"/>
    <d v="2023-12-31T00:00:00"/>
    <n v="347"/>
    <s v="DIEGO EMILIO OJEDA MONCAYO"/>
    <n v="19498970"/>
    <m/>
    <m/>
    <m/>
    <m/>
    <m/>
    <m/>
    <m/>
    <m/>
    <n v="115000000"/>
    <m/>
    <m/>
    <m/>
    <m/>
    <m/>
    <m/>
    <m/>
    <m/>
    <m/>
    <n v="347"/>
    <m/>
    <m/>
  </r>
  <r>
    <s v="UNIDAD ADMINISTRATIVA ESPECIAL MIGRACIÓN COLOMBIA"/>
    <s v="900477235-6"/>
    <s v="Secop II"/>
    <n v="22"/>
    <x v="2"/>
    <s v="20232241413000001E"/>
    <s v="PCD-030-2023-2J"/>
    <x v="0"/>
    <x v="4"/>
    <s v="Contratación Directa"/>
    <s v="Prestación de Servicios Profesionales "/>
    <x v="9"/>
    <s v="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s v="80121704;80161504"/>
    <s v="Servicios legales sobre contratos"/>
    <n v="55000000"/>
    <n v="55000000"/>
    <n v="10023"/>
    <s v="A-02-02-02-008-003"/>
    <s v="Celebrado"/>
    <s v="En ejecución"/>
    <m/>
    <s v="CO-020-2023"/>
    <s v="Enero"/>
    <d v="2023-01-18T00:00:00"/>
    <s v="Prestación de Servicios Profesionales"/>
    <m/>
    <s v="Nivel Central"/>
    <s v="Bogotá D.C."/>
    <s v="MYRIAM BUITRAGO ESPITIA"/>
    <n v="24018748"/>
    <m/>
    <s v="DERECHO"/>
    <s v="NO"/>
    <m/>
    <m/>
    <n v="29011"/>
    <e v="#REF!"/>
    <n v="20623"/>
    <d v="2023-01-19T00:00:00"/>
    <n v="55000000"/>
    <m/>
    <m/>
    <m/>
    <n v="55000000"/>
    <s v="Si "/>
    <d v="2023-01-19T00:00:00"/>
    <s v="2 CUMPLIMIENTO"/>
    <d v="2023-01-23T00:00:00"/>
    <d v="2023-12-31T00:00:00"/>
    <n v="342"/>
    <s v="CARLOS JULIO AVILA CORONEL"/>
    <n v="79279880"/>
    <m/>
    <m/>
    <m/>
    <m/>
    <m/>
    <m/>
    <m/>
    <m/>
    <e v="#REF!"/>
    <m/>
    <m/>
    <m/>
    <m/>
    <m/>
    <m/>
    <m/>
    <m/>
    <m/>
    <n v="342"/>
    <m/>
    <m/>
  </r>
  <r>
    <s v="UNIDAD ADMINISTRATIVA ESPECIAL MIGRACIÓN COLOMBIA"/>
    <s v="900477235-6"/>
    <s v="Secop II"/>
    <n v="17"/>
    <x v="2"/>
    <s v="20232121413000003E"/>
    <s v="PCD-031-2023-11P"/>
    <x v="0"/>
    <x v="4"/>
    <s v="Contratación Directa"/>
    <s v="Prestación de Servicios Profesionales "/>
    <x v="1"/>
    <s v="PRESTACIÓN DE SERVICIOS PROFESIONALES CON AUTONOMÍA TÉCNICA Y ADMINISTRATIVA, EN LA OFICINA ASESORA DE PLANEACIÓN PARA EL MONITOREO Y SEGUIMIENTO DOCUMENTAL  DE ACUERDO CON LAS CONDICIONES SEÑALADAS Y ESPECIFICACIONES DESCRITAS EN LOS ESTUDIOS PREVIOS."/>
    <s v="801615;8012170;80101605;93121600"/>
    <s v=" Servicios de apoyo gerencial"/>
    <n v="57500000"/>
    <n v="57500000"/>
    <n v="10523"/>
    <s v="C-1199-1002-11-0-1199054-02"/>
    <s v="Celebrado"/>
    <s v="En ejecución"/>
    <m/>
    <s v="CO-013-2023"/>
    <s v="Enero"/>
    <d v="2023-01-18T00:00:00"/>
    <s v="Prestación de Servicios Profesionales"/>
    <m/>
    <s v="Nivel Central"/>
    <s v="Bogotá D.C."/>
    <s v="SANDRA MARCELA CAJAMARCA GUZMAN"/>
    <n v="1010167732"/>
    <m/>
    <s v="Relaciones Internacionales y Estudios Políticos"/>
    <s v="NO"/>
    <m/>
    <m/>
    <n v="31711"/>
    <e v="#REF!"/>
    <n v="19723"/>
    <d v="2023-01-19T00:00:00"/>
    <n v="57500000"/>
    <m/>
    <m/>
    <m/>
    <n v="57500000"/>
    <s v="Si "/>
    <d v="2023-01-19T00:00:00"/>
    <s v="2 CUMPLIMIENTO"/>
    <d v="2023-01-20T00:00:00"/>
    <d v="2023-12-31T00:00:00"/>
    <n v="345"/>
    <s v="JORGE ENRIQUE GARCIA LONDOÑO"/>
    <n v="79276876"/>
    <m/>
    <m/>
    <m/>
    <m/>
    <m/>
    <m/>
    <m/>
    <m/>
    <e v="#REF!"/>
    <m/>
    <m/>
    <m/>
    <m/>
    <m/>
    <m/>
    <m/>
    <m/>
    <m/>
    <n v="345"/>
    <m/>
    <m/>
  </r>
  <r>
    <s v="UNIDAD ADMINISTRATIVA ESPECIAL MIGRACIÓN COLOMBIA"/>
    <s v="900477235-6"/>
    <s v="Secop II"/>
    <n v="53"/>
    <x v="1"/>
    <s v="20232501413000009E"/>
    <s v="PCD-009-2023-9TEC"/>
    <x v="0"/>
    <x v="5"/>
    <s v="Contratación Directa"/>
    <s v="Prestación de Servicios Profesionales "/>
    <x v="2"/>
    <s v="Contratar la prestación de los servicios profesionales para administrar y desarrollar funcionalidades en el bus de datos Oracle"/>
    <n v="81111500"/>
    <s v="Servicios Basados en Ingeniería, Investigación y Tecnología"/>
    <n v="57500000"/>
    <n v="57500000"/>
    <n v="10923"/>
    <s v="C-1199-1002-10-0-1199001-02"/>
    <s v="Celebrado"/>
    <s v="En ejecución"/>
    <m/>
    <s v="CO-039-2023"/>
    <s v="Enero"/>
    <d v="2023-01-20T00:00:00"/>
    <s v="Prestación de Servicios Profesionales"/>
    <m/>
    <s v="Nivel Central"/>
    <s v="Bogotá D.C."/>
    <s v="ANA JOHANA CAMELO BARRERA"/>
    <n v="53075439"/>
    <m/>
    <m/>
    <m/>
    <m/>
    <m/>
    <m/>
    <n v="123"/>
    <n v="21323"/>
    <d v="2023-01-20T00:00:00"/>
    <n v="57500000"/>
    <m/>
    <m/>
    <m/>
    <n v="57500000"/>
    <s v="Si "/>
    <d v="2023-01-20T00:00:00"/>
    <s v="2 CUMPLIMIENTO"/>
    <d v="2023-01-23T00:00:00"/>
    <d v="2023-12-31T00:00:00"/>
    <n v="342"/>
    <s v="DIEGO EMILIO OJEDA MONCAYO"/>
    <n v="19498970"/>
    <m/>
    <m/>
    <m/>
    <m/>
    <m/>
    <m/>
    <m/>
    <m/>
    <n v="57500000"/>
    <m/>
    <m/>
    <m/>
    <m/>
    <m/>
    <m/>
    <m/>
    <m/>
    <m/>
    <n v="342"/>
    <m/>
    <m/>
  </r>
  <r>
    <s v="UNIDAD ADMINISTRATIVA ESPECIAL MIGRACIÓN COLOMBIA"/>
    <s v="900477235-6"/>
    <s v="Secop II"/>
    <n v="23"/>
    <x v="2"/>
    <s v="20232241413000003E"/>
    <s v="PCD-028-2023-3J"/>
    <x v="0"/>
    <x v="5"/>
    <s v="Contratación Directa"/>
    <s v="Prestación de Servicios Profesionales "/>
    <x v="0"/>
    <s v="PRESTACIÓN DE SERVICIOS PROFESIONALES CON AUTONOMÍA TÉCNICA Y ADMINISTRATIVA A LA OFICINA ASESORA DE PLANEACIÓN, PARA LA IMPLEMENTACIÓN DE LA POLÍTICA DE GESTIÓN DE LA INFORMACIÓN ESTADÍSTICA DE LA ENTIDAD."/>
    <s v="81101508;80161500;80161504;80121704"/>
    <s v=" Ingeniería civil y arquitectura"/>
    <n v="46000000"/>
    <n v="46000000"/>
    <n v="9823"/>
    <s v="A-02-02-02-008-003"/>
    <s v="Celebrado"/>
    <s v="En ejecución"/>
    <m/>
    <s v="CO-019-2023"/>
    <s v="Enero"/>
    <d v="2023-01-19T00:00:00"/>
    <s v="Prestación de Servicios Profesionales"/>
    <m/>
    <s v="Nivel Central"/>
    <s v="Bogotá D.C."/>
    <s v="ADRIANA CAROLINA MAESTRE SOLANO"/>
    <n v="1065827686"/>
    <m/>
    <s v="DERECHO"/>
    <s v="NO"/>
    <m/>
    <m/>
    <n v="35315"/>
    <e v="#REF!"/>
    <n v="20223"/>
    <d v="2023-01-19T00:00:00"/>
    <n v="46000000"/>
    <m/>
    <m/>
    <m/>
    <n v="46000000"/>
    <s v="Si "/>
    <d v="2023-01-19T00:00:00"/>
    <s v="2 CUMPLIMIENTO"/>
    <d v="2023-01-19T00:00:00"/>
    <d v="2023-12-31T00:00:00"/>
    <n v="346"/>
    <s v="CARLOS JULIO AVILA CORONEL"/>
    <n v="79279880"/>
    <m/>
    <m/>
    <m/>
    <m/>
    <m/>
    <m/>
    <m/>
    <m/>
    <e v="#REF!"/>
    <m/>
    <m/>
    <m/>
    <m/>
    <m/>
    <m/>
    <m/>
    <m/>
    <m/>
    <n v="346"/>
    <m/>
    <m/>
  </r>
  <r>
    <s v="UNIDAD ADMINISTRATIVA ESPECIAL MIGRACIÓN COLOMBIA"/>
    <s v="900477235-6"/>
    <s v="Secop II"/>
    <n v="47"/>
    <x v="4"/>
    <s v="20232501413000003E"/>
    <s v="PCD-022-2023-3TEC"/>
    <x v="0"/>
    <x v="5"/>
    <s v="contratacion directa "/>
    <s v="prestacion de servicios profesionales"/>
    <x v="10"/>
    <s v="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
    <s v="81-11-15"/>
    <s v="Servicios Basados en Ingeniería, Investigación y Tecnología -Servicios informáticos-Ingeniería de software o hardware"/>
    <n v="103500000"/>
    <n v="103500000"/>
    <n v="11623"/>
    <s v="C-1199-1002-10-0-1199001-02"/>
    <s v="Celebrado"/>
    <s v="En ejecución"/>
    <m/>
    <s v="CO-031-2023"/>
    <s v="Enero"/>
    <d v="2023-01-20T00:00:00"/>
    <s v="Prestación de Servicios Profesionales"/>
    <m/>
    <s v="Nivel Central"/>
    <s v="Bogotá D.C."/>
    <s v="JORGE ALBERTO TIBADUIZA RINCON"/>
    <n v="1053512616"/>
    <m/>
    <m/>
    <m/>
    <m/>
    <m/>
    <m/>
    <n v="123"/>
    <n v="21923"/>
    <d v="2023-01-20T00:00:00"/>
    <n v="103500000"/>
    <m/>
    <m/>
    <m/>
    <n v="103500000"/>
    <s v="SI"/>
    <d v="2023-01-19T00:00:00"/>
    <s v="2 CUMPLIMIENTO"/>
    <d v="2023-01-20T00:00:00"/>
    <d v="2023-12-31T00:00:00"/>
    <n v="345"/>
    <s v="DIEGO EMILIO OJEDA MONCAYO"/>
    <n v="19498970"/>
    <m/>
    <m/>
    <m/>
    <m/>
    <m/>
    <m/>
    <m/>
    <m/>
    <n v="103500000"/>
    <m/>
    <m/>
    <m/>
    <m/>
    <m/>
    <m/>
    <m/>
    <m/>
    <m/>
    <n v="345"/>
    <m/>
    <m/>
  </r>
  <r>
    <s v="UNIDAD ADMINISTRATIVA ESPECIAL MIGRACIÓN COLOMBIA"/>
    <s v="900477235-6"/>
    <s v="Secop II"/>
    <n v="46"/>
    <x v="4"/>
    <s v="20232501413000002E"/>
    <s v="PCD-021-2023-2TEC"/>
    <x v="0"/>
    <x v="5"/>
    <s v="contratacion directa "/>
    <s v="prestacion de servicios profesionales"/>
    <x v="10"/>
    <s v="Contratar la prestación de los servicios profesionales en las actividades propias de levantamiento, especificaciónde requerimientos, pruebas y capacitación para el desarrollo de los sistemas de información de Migración Colombia"/>
    <s v="81-11-15"/>
    <s v="Servicios Basados en Ingeniería, Investigación y Tecnología -Servicios informáticos-Ingeniería de software o hardware"/>
    <n v="103500000"/>
    <n v="103500000"/>
    <n v="11523"/>
    <s v="C-1199-1002-10-0-1199001-02"/>
    <s v="Celebrado"/>
    <s v="En ejecución"/>
    <m/>
    <s v="CO-026-2023"/>
    <s v="Enero"/>
    <d v="2023-01-19T00:00:00"/>
    <s v="Prestación de Servicios Profesionales"/>
    <m/>
    <s v="Nivel Central"/>
    <s v="Bogotá D.C."/>
    <s v="DEISSY YOHANA NEITA NUVAN"/>
    <n v="1058038192"/>
    <m/>
    <m/>
    <m/>
    <m/>
    <m/>
    <m/>
    <n v="123"/>
    <n v="20323"/>
    <d v="2023-01-19T00:00:00"/>
    <n v="103500000"/>
    <m/>
    <m/>
    <m/>
    <n v="103500000"/>
    <s v="SI"/>
    <d v="2023-01-18T00:00:00"/>
    <s v="2 CUMPLIMIENTO"/>
    <d v="2023-01-19T00:00:00"/>
    <d v="2023-12-31T00:00:00"/>
    <n v="346"/>
    <s v="DIEGO EMILIO OJEDA MONCAYO"/>
    <n v="19498970"/>
    <m/>
    <m/>
    <m/>
    <m/>
    <m/>
    <m/>
    <m/>
    <m/>
    <n v="103500000"/>
    <m/>
    <m/>
    <m/>
    <m/>
    <m/>
    <m/>
    <m/>
    <m/>
    <m/>
    <n v="346"/>
    <m/>
    <m/>
  </r>
  <r>
    <s v="UNIDAD ADMINISTRATIVA ESPECIAL MIGRACIÓN COLOMBIA"/>
    <s v="900477235-6"/>
    <s v="Secop II"/>
    <n v="115"/>
    <x v="4"/>
    <s v="20236001413000002E"/>
    <s v="PCD-012-2023-1SG"/>
    <x v="0"/>
    <x v="5"/>
    <s v="contratacion directa "/>
    <s v="prestacion de servicios profesionales"/>
    <x v="5"/>
    <s v="PRESTAR LOS SERVICIOS PROFESIONALES ESPECIALIZADOS CON AUTONOMÍA TÉCNICA Y ADMINISTRATIVA PARA EL APOYO Y ACOMPAÑAMIENTO A LA SECRETARIA GENERAL EN TEMAS RELACIONADOS CON LAS COMUNICACIONES DE LA UNIDAD ADMINISTRATIVA ESPECIAL MIGRACIÓN COLOMBIA"/>
    <s v="80-16-15-04"/>
    <s v="Servicios de Gestión, Servicios Profesionales de Empresa y Servicios Administrativos- Servicios de Administración de Empresas- Servicios de Apoyo Gerencial- Servicios de oficina"/>
    <n v="80000000"/>
    <n v="80000000"/>
    <n v="12923"/>
    <s v="A-02-02-02-008-003"/>
    <s v="Celebrado"/>
    <s v="En ejecución"/>
    <m/>
    <s v="CO-025-2023"/>
    <s v="Enero"/>
    <d v="2023-01-23T00:00:00"/>
    <s v="Prestación de Servicios Profesionales"/>
    <m/>
    <s v="Nivel Central"/>
    <s v="Bogotá D.C."/>
    <s v="HÉCTOR PINILLA"/>
    <n v="79470333"/>
    <m/>
    <m/>
    <m/>
    <m/>
    <m/>
    <m/>
    <n v="123"/>
    <n v="22423"/>
    <d v="2023-01-23T00:00:00"/>
    <n v="80000000"/>
    <m/>
    <m/>
    <m/>
    <n v="80000000"/>
    <s v="SI"/>
    <d v="2023-01-24T00:00:00"/>
    <s v="2 CUMPLIMIENTO"/>
    <d v="2023-01-23T00:00:00"/>
    <d v="2023-11-20T00:00:00"/>
    <n v="301"/>
    <s v="MARITZA ROCÍO SERRANO VILLAMIL"/>
    <n v="393757630"/>
    <m/>
    <m/>
    <m/>
    <m/>
    <m/>
    <m/>
    <m/>
    <m/>
    <n v="80000000"/>
    <m/>
    <m/>
    <m/>
    <m/>
    <m/>
    <m/>
    <m/>
    <m/>
    <m/>
    <n v="301"/>
    <m/>
    <m/>
  </r>
  <r>
    <s v="UNIDAD ADMINISTRATIVA ESPECIAL MIGRACIÓN COLOMBIA"/>
    <s v="900477235-6"/>
    <s v="Secop II"/>
    <n v="21"/>
    <x v="0"/>
    <s v="20232241413000002E"/>
    <s v="PCD-037-2023-1J"/>
    <x v="0"/>
    <x v="5"/>
    <s v="Contratación Directa"/>
    <s v="Prestación de Servicios Profesionales "/>
    <x v="11"/>
    <s v="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
    <s v="81101508;80161500;80161504;80121704"/>
    <s v="Ingeniería arquitectónica - Servicios de apoyo gerencial - Servicios de oficina - Servicios legales sobre contratos"/>
    <n v="70400000"/>
    <n v="70400000"/>
    <n v="10323"/>
    <s v="A-02-02-02-008-003"/>
    <s v="Celebrado"/>
    <s v="En ejecución"/>
    <m/>
    <s v="CO-029-2023"/>
    <s v="Enero"/>
    <d v="2023-01-19T00:00:00"/>
    <s v="Prestación de Servicios Profesionales"/>
    <m/>
    <s v="Nivel Central"/>
    <s v="Bogotá D.C."/>
    <s v="ANA CONSTANZA POLANIA"/>
    <n v="52258308"/>
    <s v="-"/>
    <s v="DERECHO"/>
    <s v="NO"/>
    <s v="No es mypime"/>
    <s v="N/A"/>
    <d v="1975-04-21T00:00:00"/>
    <n v="48"/>
    <n v="20423"/>
    <d v="2023-01-19T00:00:00"/>
    <n v="70400000"/>
    <m/>
    <m/>
    <m/>
    <n v="70400000"/>
    <s v="Si "/>
    <d v="2023-01-19T00:00:00"/>
    <s v="2 CUMPLIMIENTO"/>
    <d v="2023-01-23T00:00:00"/>
    <d v="2023-12-22T00:00:00"/>
    <n v="333"/>
    <s v="CARLOS JULIO AVILA CORONEL"/>
    <n v="79279880"/>
    <m/>
    <m/>
    <m/>
    <m/>
    <m/>
    <m/>
    <m/>
    <m/>
    <n v="70400000"/>
    <m/>
    <m/>
    <m/>
    <m/>
    <m/>
    <m/>
    <m/>
    <m/>
    <m/>
    <n v="333"/>
    <m/>
    <m/>
  </r>
  <r>
    <s v="UNIDAD ADMINISTRATIVA ESPECIAL MIGRACIÓN COLOMBIA"/>
    <s v="900477235-6"/>
    <s v="Secop II"/>
    <n v="31"/>
    <x v="0"/>
    <s v="20232401413000005E"/>
    <s v="PCD-038-2023-3COM"/>
    <x v="0"/>
    <x v="5"/>
    <s v="Contratación Directa"/>
    <s v="Prestación de Servicios Profesionales "/>
    <x v="4"/>
    <s v="PARTICIPAR, IMPLEMENTAR Y ACOMPAÑAR LA EJECUCIÓN DE LAS ACCIONES PLANEADAS POR LA OFICINA DE COMUNICACIONES Y SERVICIO  PARA COMUNICACIÓN INTERNA DE MIGRACIÓN COLOMBIA EN DESARROLLO DE SU MISIONALIDAD Y DE ACUERDO CON LAS NECESIDADES DE LA ENTIDAD."/>
    <n v="80161504"/>
    <s v="Servicios de oficina"/>
    <n v="69000000"/>
    <n v="69000000"/>
    <n v="13623"/>
    <s v="A-02-02-02-008-003"/>
    <s v="Celebrado"/>
    <s v="En ejecución"/>
    <m/>
    <s v="CO-028-2023"/>
    <s v="Enero"/>
    <d v="2023-01-19T00:00:00"/>
    <s v="Prestación de Servicios Profesionales"/>
    <m/>
    <s v="Nivel Central"/>
    <s v="Bogotá D.C."/>
    <s v="LUIS ALFONSO VIECCO ROSADO"/>
    <n v="77172059"/>
    <s v="-"/>
    <s v="COMUNICACIÓN SOCIAL"/>
    <s v="NO"/>
    <s v="No es mypime"/>
    <s v="N/A"/>
    <d v="1973-01-30T00:00:00"/>
    <n v="50"/>
    <n v="20123"/>
    <d v="2023-01-19T00:00:00"/>
    <n v="69000000"/>
    <m/>
    <m/>
    <m/>
    <n v="69000000"/>
    <s v="Si "/>
    <d v="2023-01-18T00:00:00"/>
    <s v="2 CUMPLIMIENTO"/>
    <d v="2023-01-19T00:00:00"/>
    <d v="2023-12-31T00:00:00"/>
    <n v="346"/>
    <s v="MARITZA ROCIO SERRANO VILLAMIL"/>
    <n v="39757630"/>
    <m/>
    <m/>
    <m/>
    <m/>
    <m/>
    <m/>
    <m/>
    <m/>
    <n v="69000000"/>
    <m/>
    <m/>
    <m/>
    <m/>
    <m/>
    <m/>
    <m/>
    <m/>
    <m/>
    <n v="346"/>
    <m/>
    <m/>
  </r>
  <r>
    <s v="UNIDAD ADMINISTRATIVA ESPECIAL MIGRACIÓN COLOMBIA"/>
    <s v="900477235-6"/>
    <s v="Secop II"/>
    <n v="227"/>
    <x v="3"/>
    <s v="20233001413000001E"/>
    <s v="PCD-039-2023-4CM"/>
    <x v="0"/>
    <x v="5"/>
    <s v="Contratación Directa"/>
    <s v="Prestación de servicios Profesionales"/>
    <x v="12"/>
    <s v="PRESTAR LOS SERVICIOS PROFESIONALES CON AUTONOMÍA TÉCNICA Y ADMINISTRATIVA PARA APOYAR LA GESTIÓN DE LA SUBDIRECCIÓN DE CONTROL MIGRATORIO DE ACUERDO CON LAS CONDICIONES SEÑALADAS Y ESPECIFICACIONES TÉCNICAS DESCRITAS EN LOS ESTUDIOS PREVIOS"/>
    <n v="80161504"/>
    <s v="Servicios de oficina"/>
    <n v="51750000"/>
    <n v="51750000"/>
    <n v="14423"/>
    <s v="A-02-02-02-008-003 "/>
    <s v="Celebrado"/>
    <s v="En ejecución"/>
    <m/>
    <s v="CO-030-2023"/>
    <s v="Enero"/>
    <d v="2023-01-20T00:00:00"/>
    <s v="Prestación de Servicios Profesionales"/>
    <m/>
    <s v="Nivel Central "/>
    <s v="Bogotá D.C."/>
    <s v="JOSÉ LEONARDO BECERRA APÍSCOPE"/>
    <n v="1140420436"/>
    <m/>
    <m/>
    <m/>
    <m/>
    <m/>
    <m/>
    <n v="123"/>
    <n v="19823"/>
    <d v="2023-01-19T00:00:00"/>
    <n v="51750000"/>
    <m/>
    <m/>
    <m/>
    <n v="51750000"/>
    <s v="SI"/>
    <d v="2023-01-18T00:00:00"/>
    <s v="2 CUMPLIMIENTO"/>
    <d v="2023-01-20T00:00:00"/>
    <d v="2023-12-31T00:00:00"/>
    <n v="345"/>
    <s v="USECHE OVALLES CARLOS EDUARDO"/>
    <n v="1020712442"/>
    <m/>
    <m/>
    <m/>
    <m/>
    <m/>
    <m/>
    <m/>
    <m/>
    <n v="51750000"/>
    <m/>
    <m/>
    <m/>
    <m/>
    <m/>
    <m/>
    <m/>
    <m/>
    <m/>
    <n v="345"/>
    <m/>
    <m/>
  </r>
  <r>
    <s v="UNIDAD ADMINISTRATIVA ESPECIAL MIGRACIÓN COLOMBIA"/>
    <s v="900477235-6"/>
    <s v="Secop II"/>
    <n v="230"/>
    <x v="1"/>
    <s v="20233001413000002E"/>
    <s v="PCD-008-2023-5CM"/>
    <x v="0"/>
    <x v="6"/>
    <s v="Contratación Directa"/>
    <s v="Prestación de Servicios Profesionales "/>
    <x v="13"/>
    <s v="PRESTAR LOS SERVICIOS PROFESIONALES CON AUTONOMÍA TÉCNICA Y ADMINISTRATIVA PARA APOYAR LA GESTIÓN DE LA SUBDIRECCIÓN DE CONTROL MIGRATORIO DE ACUERDO CON LAS CONDICIONES SEÑALADAS Y ESPECIFICACIONES TÉCNICAS DESCRITAS EN LOS ESTUDIOS PREVIOS."/>
    <n v="80161504"/>
    <s v="Servicios de gestión, servicios profesionales de empresa y servicios administrativos"/>
    <n v="85500000"/>
    <n v="85500000"/>
    <n v="14323"/>
    <s v="A-02-02-02-008-003"/>
    <s v="Celebrado"/>
    <s v="En ejecución"/>
    <m/>
    <s v="CO-038-2023"/>
    <s v="Enero"/>
    <d v="2023-01-19T00:00:00"/>
    <s v="Prestación de Servicios Profesionales"/>
    <m/>
    <s v="Nivel Central"/>
    <s v="Bogotá D.C."/>
    <s v="MELISSA JOHANNA MONTOYA QUIRAMA"/>
    <n v="42149816"/>
    <m/>
    <m/>
    <m/>
    <m/>
    <m/>
    <m/>
    <n v="123"/>
    <n v="21523"/>
    <d v="2023-01-20T00:00:00"/>
    <n v="85500000"/>
    <m/>
    <m/>
    <m/>
    <n v="85500000"/>
    <s v="Si "/>
    <d v="2023-01-19T00:00:00"/>
    <s v="2 CUMPLIMIENTO"/>
    <d v="2023-01-20T00:00:00"/>
    <d v="2023-10-31T00:00:00"/>
    <n v="284"/>
    <s v="MARTHA HERNANDEZ ARANGO"/>
    <n v="51712658"/>
    <m/>
    <m/>
    <m/>
    <m/>
    <m/>
    <m/>
    <m/>
    <m/>
    <n v="85500000"/>
    <m/>
    <m/>
    <m/>
    <m/>
    <m/>
    <m/>
    <m/>
    <m/>
    <m/>
    <n v="284"/>
    <m/>
    <m/>
  </r>
  <r>
    <s v="UNIDAD ADMINISTRATIVA ESPECIAL MIGRACIÓN COLOMBIA"/>
    <s v="900477235-6"/>
    <s v="Secop II"/>
    <n v="50"/>
    <x v="4"/>
    <s v="20232501413000006E"/>
    <s v="PCD-033-2023-6TEC"/>
    <x v="0"/>
    <x v="6"/>
    <s v="contratacion directa "/>
    <s v="prestacion de servicios profesionales"/>
    <x v="10"/>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2023"/>
    <s v="C-1199-1002-10-0-1199001-02"/>
    <s v="Celebrado"/>
    <s v="En ejecución"/>
    <m/>
    <s v="CO-032-2023"/>
    <s v="Enero"/>
    <d v="2023-01-24T00:00:00"/>
    <s v="Prestación de Servicios Profesionales"/>
    <m/>
    <s v="Nivel Central"/>
    <s v="Bogotá D.C."/>
    <s v="VERONICA BEATRIZ BORGES CELIN"/>
    <n v="1127617145"/>
    <m/>
    <m/>
    <m/>
    <m/>
    <m/>
    <m/>
    <n v="123"/>
    <n v="21823"/>
    <d v="2023-01-20T00:00:00"/>
    <n v="115000000"/>
    <m/>
    <m/>
    <m/>
    <n v="115000000"/>
    <s v="SI"/>
    <d v="2023-01-20T00:00:00"/>
    <s v="2 CUMPLIMIENTO"/>
    <d v="2023-01-24T00:00:00"/>
    <d v="2023-12-31T00:00:00"/>
    <n v="341"/>
    <s v="DIEGO EMILIO OJEDA MONCAYO"/>
    <n v="19498970"/>
    <m/>
    <m/>
    <m/>
    <m/>
    <m/>
    <m/>
    <m/>
    <m/>
    <n v="115000000"/>
    <m/>
    <m/>
    <m/>
    <m/>
    <m/>
    <m/>
    <m/>
    <m/>
    <m/>
    <n v="341"/>
    <m/>
    <m/>
  </r>
  <r>
    <s v="UNIDAD ADMINISTRATIVA ESPECIAL MIGRACIÓN COLOMBIA"/>
    <s v="900477235-6"/>
    <s v="Secop II"/>
    <n v="48"/>
    <x v="4"/>
    <s v="20232501413000004E"/>
    <s v="PCD-034-2023-4TEC"/>
    <x v="0"/>
    <x v="6"/>
    <s v="contratacion directa "/>
    <s v="prestacion de servicios profesionales"/>
    <x v="10"/>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1823"/>
    <s v="C-1199-1002-10-0-1199001-02"/>
    <s v="Celebrado"/>
    <s v="En ejecución"/>
    <m/>
    <s v="CO-033-2023"/>
    <s v="Enero"/>
    <d v="2023-01-24T00:00:00"/>
    <s v="Prestación de Servicios Profesionales"/>
    <m/>
    <s v="Nivel Central"/>
    <s v="Bogotá D.C."/>
    <s v="BALDWIN GABRIEL MONTES PEREZ"/>
    <n v="72001417"/>
    <m/>
    <m/>
    <m/>
    <m/>
    <m/>
    <m/>
    <n v="123"/>
    <n v="22323"/>
    <d v="2023-01-23T00:00:00"/>
    <n v="115000000"/>
    <m/>
    <m/>
    <m/>
    <n v="115000000"/>
    <s v="SI"/>
    <d v="2023-01-23T00:00:00"/>
    <s v="2 CUMPLIMIENTO"/>
    <d v="2023-01-24T00:00:00"/>
    <d v="2023-12-31T00:00:00"/>
    <n v="341"/>
    <s v="DIEGO EMILIO OJEDA MONCAYO"/>
    <n v="19498970"/>
    <m/>
    <m/>
    <m/>
    <m/>
    <m/>
    <m/>
    <m/>
    <m/>
    <n v="115000000"/>
    <m/>
    <m/>
    <m/>
    <m/>
    <m/>
    <m/>
    <m/>
    <m/>
    <m/>
    <n v="341"/>
    <m/>
    <m/>
  </r>
  <r>
    <s v="UNIDAD ADMINISTRATIVA ESPECIAL MIGRACIÓN COLOMBIA"/>
    <s v="900477235-6"/>
    <s v="Secop II"/>
    <n v="49"/>
    <x v="4"/>
    <s v="20232501413000005E"/>
    <s v="PCD-035-2023-5TEC"/>
    <x v="0"/>
    <x v="6"/>
    <s v="contratacion directa "/>
    <s v="prestacion de servicios profesionales"/>
    <x v="10"/>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1923"/>
    <s v="C-1199-1002-10-0-1199001-02"/>
    <s v="Celebrado"/>
    <s v="En ejecución"/>
    <m/>
    <s v="CO-034-2023"/>
    <s v="Enero"/>
    <d v="2023-01-24T00:00:00"/>
    <s v="Prestación de Servicios Profesionales"/>
    <m/>
    <s v="Nivel Central"/>
    <s v="Bogotá D.C."/>
    <s v="JAIME FERNANDO CANTILLO MONROY"/>
    <n v="1070608285"/>
    <m/>
    <m/>
    <m/>
    <m/>
    <m/>
    <m/>
    <n v="123"/>
    <n v="24323"/>
    <d v="2023-01-24T00:00:00"/>
    <n v="115000000"/>
    <m/>
    <m/>
    <m/>
    <n v="115000000"/>
    <s v="SI"/>
    <d v="2023-01-23T00:00:00"/>
    <s v="2 CUMPLIMIENTO"/>
    <d v="2023-01-24T00:00:00"/>
    <d v="2023-12-31T00:00:00"/>
    <n v="341"/>
    <s v="DIEGO EMILIO OJEDA MONCAYO"/>
    <n v="19498970"/>
    <m/>
    <m/>
    <m/>
    <m/>
    <m/>
    <m/>
    <m/>
    <m/>
    <n v="115000000"/>
    <m/>
    <m/>
    <m/>
    <m/>
    <m/>
    <m/>
    <m/>
    <m/>
    <m/>
    <n v="341"/>
    <m/>
    <m/>
  </r>
  <r>
    <s v="UNIDAD ADMINISTRATIVA ESPECIAL MIGRACIÓN COLOMBIA"/>
    <s v="900477235-6"/>
    <s v="Secop II"/>
    <n v="26"/>
    <x v="4"/>
    <s v="20232261413000001E"/>
    <s v="PCD-007-2023-7J"/>
    <x v="0"/>
    <x v="6"/>
    <s v="contratacion directa "/>
    <s v="prestacion de servicios profesionales"/>
    <x v="9"/>
    <s v="CONTRATAR LA PRESTACION DE SERVICIOS PROFESIONALES CON AUTONOMÍA TÉCNICA Y ADMINISTRATIVA, PARA APOYAR LA GESTIÓN DEL GRUPO DE APOYO CONTRACTUAL DE LA OFICINA ASESORA JURÍDICA, DE ACUERDO CON LAS CONDICIONES SEÑALADAS Y ESPECIFICACIONES TÉCNICAS DESCRITAS EN LOS ESTUDIOS PREVIOS"/>
    <s v="80-16-15-04"/>
    <s v="Servicios de Gestión, Servicios Profesionales de Empresa y Servicios Administrativos- Servicios de Administración de Empresas- Servicios de Apoyo Gerencial- Servicios de oficina"/>
    <n v="60000000"/>
    <n v="60000000"/>
    <n v="9923"/>
    <s v="A-02-02-02-008-003"/>
    <s v="Celebrado"/>
    <s v="En ejecución"/>
    <m/>
    <s v="CO-036-2023"/>
    <s v="Enero"/>
    <d v="2023-01-23T00:00:00"/>
    <s v="Prestación de Servicios Profesionales"/>
    <m/>
    <s v="Nivel Central"/>
    <s v="Bogotá D.C."/>
    <s v="RODRIGO ANDRES GARCIA"/>
    <n v="1075243527"/>
    <m/>
    <m/>
    <m/>
    <m/>
    <m/>
    <m/>
    <n v="123"/>
    <n v="21623"/>
    <d v="2023-01-20T00:00:00"/>
    <n v="60000000"/>
    <m/>
    <m/>
    <m/>
    <n v="60000000"/>
    <s v="SI"/>
    <d v="2023-01-19T00:00:00"/>
    <s v="2 CUMPLIMIENTO"/>
    <d v="2023-01-23T00:00:00"/>
    <d v="2023-11-19T00:00:00"/>
    <n v="300"/>
    <s v="CARLOS JULIO AVILA CORONEL"/>
    <n v="79279880"/>
    <m/>
    <m/>
    <m/>
    <m/>
    <m/>
    <m/>
    <m/>
    <m/>
    <n v="60000000"/>
    <m/>
    <m/>
    <m/>
    <m/>
    <m/>
    <m/>
    <m/>
    <m/>
    <m/>
    <n v="300"/>
    <m/>
    <m/>
  </r>
  <r>
    <s v="UNIDAD ADMINISTRATIVA ESPECIAL MIGRACIÓN COLOMBIA"/>
    <s v="900477235-6"/>
    <s v="Secop II"/>
    <n v="52"/>
    <x v="1"/>
    <s v="20232501413000008E"/>
    <s v="PCD-010-2023-8TEC"/>
    <x v="0"/>
    <x v="7"/>
    <s v="Contratación Directa"/>
    <s v="Prestación de Servicios Profesionales "/>
    <x v="2"/>
    <s v="Contratar la prestación de los servicios profesionales para apoyar la gestión de la Oficina de Tecnología de la Información de Migración Colombia, en las actividades propias del desarrollo de aplicaciones en lenguaje .NET"/>
    <n v="81111500"/>
    <s v="Servicios Basados en Ingeniería, Investigación y Tecnología"/>
    <n v="92000000"/>
    <n v="92000000"/>
    <n v="11023"/>
    <s v="C-1199-1002-10-0-1199001-02"/>
    <s v="Celebrado"/>
    <s v="En ejecución"/>
    <m/>
    <s v="CO-041-2023"/>
    <s v="Enero"/>
    <d v="2023-01-20T00:00:00"/>
    <s v="Prestación de Servicios Profesionales"/>
    <m/>
    <s v="Nivel Central"/>
    <s v="Bogotá D.C."/>
    <s v="DANIEL MAURICIO AREVALO RAMIEZ"/>
    <n v="80798819"/>
    <m/>
    <m/>
    <m/>
    <m/>
    <m/>
    <m/>
    <n v="123"/>
    <n v="22023"/>
    <d v="2023-01-23T00:00:00"/>
    <n v="92000000"/>
    <m/>
    <m/>
    <m/>
    <n v="92000000"/>
    <s v="Si "/>
    <d v="2023-01-20T00:00:00"/>
    <s v="2 CUMPLIMIENTO"/>
    <d v="2023-01-23T00:00:00"/>
    <d v="2023-12-31T00:00:00"/>
    <n v="342"/>
    <s v="DIEGO EMILIO OJEDA MONCAYO"/>
    <n v="19498970"/>
    <m/>
    <m/>
    <m/>
    <m/>
    <m/>
    <m/>
    <m/>
    <m/>
    <n v="92000000"/>
    <m/>
    <m/>
    <m/>
    <m/>
    <m/>
    <m/>
    <m/>
    <m/>
    <m/>
    <n v="342"/>
    <m/>
    <m/>
  </r>
  <r>
    <s v="UNIDAD ADMINISTRATIVA ESPECIAL MIGRACIÓN COLOMBIA"/>
    <s v="900477235-6"/>
    <s v="Secop II"/>
    <n v="55"/>
    <x v="1"/>
    <s v="20232501413000010E"/>
    <s v="PCD-026-2023-11TEC"/>
    <x v="0"/>
    <x v="7"/>
    <s v="Contratación Directa"/>
    <s v="Prestación de Servicios Profesionales "/>
    <x v="2"/>
    <s v="Prestar los servicios profesionales para desarrollar actividades relacionadas con planes, programas, documentación y seguimiento a la contratación de la Oficina de Tecnología de la Información de Migración Colombia."/>
    <n v="80101500"/>
    <s v="Servicios de gestión, servicios profesionales de empresa y servicios administrativos"/>
    <n v="121000000"/>
    <n v="121000000"/>
    <n v="13323"/>
    <s v="C-1199-1002-10-0-1199001-02"/>
    <s v="Celebrado"/>
    <s v="En ejecución"/>
    <m/>
    <s v="CO-042-2023"/>
    <s v="Enero"/>
    <d v="2023-01-20T00:00:00"/>
    <s v="Prestación de Servicios Profesionales"/>
    <m/>
    <s v="Nivel Central"/>
    <s v="Bogotá D.C."/>
    <s v="SONIA YANETH AREVALO BONILLA"/>
    <n v="52440980"/>
    <m/>
    <m/>
    <m/>
    <m/>
    <m/>
    <m/>
    <n v="123"/>
    <n v="22123"/>
    <d v="2023-01-23T00:00:00"/>
    <n v="121000000"/>
    <m/>
    <m/>
    <m/>
    <n v="121000000"/>
    <s v="Si "/>
    <d v="2023-01-23T00:00:00"/>
    <s v="2 CUMPLIMIENTO"/>
    <d v="2023-01-23T00:00:00"/>
    <d v="2023-12-31T00:00:00"/>
    <n v="342"/>
    <s v="DIEGO EMILIO OJEDA MONCAYO"/>
    <n v="19498970"/>
    <m/>
    <m/>
    <m/>
    <m/>
    <m/>
    <m/>
    <m/>
    <m/>
    <n v="121000000"/>
    <m/>
    <m/>
    <m/>
    <m/>
    <m/>
    <m/>
    <m/>
    <m/>
    <m/>
    <n v="342"/>
    <m/>
    <m/>
  </r>
  <r>
    <s v="UNIDAD ADMINISTRATIVA ESPECIAL MIGRACIÓN COLOMBIA"/>
    <s v="900477235-6"/>
    <s v="Secop II"/>
    <n v="226"/>
    <x v="3"/>
    <s v="20233001413000003E"/>
    <s v="PCD-040-2023-3CM"/>
    <x v="0"/>
    <x v="7"/>
    <s v="Contratación Directa"/>
    <s v="Prestación de servicios Profesionales"/>
    <x v="12"/>
    <s v="PRES TA R L OS SE RVI CI OS PR OFE SI ON ALES C ON AU TON OMÍA TÉ C NI CA Y A DM INI S TR ATIVA P AR A AP OY AR L A GESTI ÓN DE LA SUBDI REC CI ÓN DE C ON TR OL MIGRATORI O DE A CUER D O C ON LAS C ON DICI ONES SEÑALA DAS Y ESPECIFICACIONES TÉCNICAS DESCRITAS EN LOS ESTUDIOS PREVIOS"/>
    <n v="80161504"/>
    <s v="Servicios de oficina"/>
    <n v="57500000"/>
    <n v="57500000"/>
    <n v="14223"/>
    <s v="A-02-02-02-008-003"/>
    <s v="Celebrado"/>
    <s v="En ejecución"/>
    <m/>
    <s v="CO-037-2023"/>
    <s v="Enero"/>
    <d v="2023-01-23T00:00:00"/>
    <s v="Prestación de Servicios Profesionales"/>
    <m/>
    <s v="Nivel Central "/>
    <s v="Bogotá D.C."/>
    <s v="DANIEL RODRÍGUEZ RAMÍREZ"/>
    <n v="1020743029"/>
    <m/>
    <m/>
    <m/>
    <m/>
    <m/>
    <m/>
    <n v="123"/>
    <n v="21723"/>
    <d v="2023-01-20T00:00:00"/>
    <n v="57500000"/>
    <m/>
    <m/>
    <m/>
    <n v="57500000"/>
    <s v="SI"/>
    <d v="2023-01-23T00:00:00"/>
    <s v="2 CUMPLIMIENTO"/>
    <d v="2023-01-24T00:00:00"/>
    <d v="2023-12-31T00:00:00"/>
    <n v="341"/>
    <s v="HERNANDEZ ARANGO MARTHA"/>
    <n v="51712658"/>
    <m/>
    <m/>
    <m/>
    <m/>
    <m/>
    <m/>
    <m/>
    <m/>
    <n v="57500000"/>
    <m/>
    <m/>
    <m/>
    <m/>
    <m/>
    <m/>
    <m/>
    <m/>
    <m/>
    <n v="341"/>
    <m/>
    <m/>
  </r>
  <r>
    <s v="UNIDAD ADMINISTRATIVA ESPECIAL MIGRACIÓN COLOMBIA"/>
    <s v="900477235-6"/>
    <s v="Secop II"/>
    <n v="29"/>
    <x v="4"/>
    <s v="20232401413000003E"/>
    <s v="PCD-045-2023-1COM"/>
    <x v="0"/>
    <x v="8"/>
    <s v="contratacion directa "/>
    <s v="prestacion de servicios profesionales"/>
    <x v="14"/>
    <s v="Contratar la prestación de los servicios técnicos y administrativos como apoyo a la gestión de la Oficina de Comunicaciones y Servicio al Ciudadano"/>
    <s v="80-16-15-04"/>
    <s v="Servicios de Gestión, Servicios Profesionales de Empresa y Servicios Administrativos- Servicios de Administración de Empresas- Servicios de Apoyo Gerencial- Servicios de oficina"/>
    <n v="47150000"/>
    <n v="47150000"/>
    <n v="13423"/>
    <s v="A-02-02-02-008-003"/>
    <s v="Celebrado"/>
    <s v="En ejecución"/>
    <m/>
    <s v="CO-043-2023"/>
    <s v="Enero"/>
    <d v="2023-01-24T00:00:00"/>
    <s v="Prestación de Servicios Profesionales"/>
    <m/>
    <s v="Nivel Central"/>
    <s v="Bogotá D.C."/>
    <s v="EDGAR AURELIO MATIZ MENJURA"/>
    <n v="79727331"/>
    <m/>
    <m/>
    <m/>
    <m/>
    <m/>
    <m/>
    <n v="123"/>
    <n v="24823"/>
    <d v="2023-01-24T00:00:00"/>
    <n v="47150000"/>
    <m/>
    <m/>
    <m/>
    <n v="47150000"/>
    <s v="SI"/>
    <d v="2023-01-23T00:00:00"/>
    <s v="2 CUMPLIMIENTO"/>
    <d v="2023-01-24T00:00:00"/>
    <d v="2023-12-31T00:00:00"/>
    <n v="341"/>
    <s v="MARITZA ROCÍO SERRANO VILLAMIL"/>
    <n v="393757630"/>
    <m/>
    <m/>
    <m/>
    <m/>
    <m/>
    <m/>
    <m/>
    <m/>
    <n v="47150000"/>
    <m/>
    <m/>
    <m/>
    <m/>
    <m/>
    <m/>
    <m/>
    <m/>
    <m/>
    <n v="341"/>
    <m/>
    <m/>
  </r>
  <r>
    <s v="UNIDAD ADMINISTRATIVA ESPECIAL MIGRACIÓN COLOMBIA"/>
    <s v="900477235-6"/>
    <s v="Secop II"/>
    <n v="33"/>
    <x v="4"/>
    <s v="20232401413000002E"/>
    <s v="PCD-041-2023-5COM"/>
    <x v="0"/>
    <x v="8"/>
    <s v="contratacion directa "/>
    <s v="prestacion de servicios profesionales"/>
    <x v="14"/>
    <s v="Contratar la prestación de los servicios profesionales para la Oficina de Comunicaciones como apoyo a la gestión y producción con los medios masivos de comunicación"/>
    <s v="80-16-15-05"/>
    <s v="Servicios de Gestión, Servicios Profesionales de Empresa y Servicios Administrativos- Servicios de Administración de Empresas- Servicios de Apoyo Gerencial- Servicios de oficina"/>
    <n v="77000000"/>
    <n v="77000000"/>
    <n v="12523"/>
    <s v="A-02-02-02-008-003"/>
    <s v="Celebrado"/>
    <s v="En ejecución"/>
    <m/>
    <s v="CO--045-2023"/>
    <s v="Enero"/>
    <d v="2023-01-26T00:00:00"/>
    <s v="Prestación de Servicios Profesionales"/>
    <m/>
    <s v="Nivel Central"/>
    <s v="Bogotá D.C."/>
    <s v="MÓNICA VICTORIA MANCERA CARRERO"/>
    <n v="52515581"/>
    <m/>
    <m/>
    <m/>
    <m/>
    <m/>
    <m/>
    <n v="123"/>
    <n v="24723"/>
    <d v="2023-01-24T00:00:00"/>
    <n v="77000000"/>
    <m/>
    <m/>
    <m/>
    <n v="77000000"/>
    <s v="SI"/>
    <d v="2023-01-24T00:00:00"/>
    <s v="2 CUMPLIMIENTO"/>
    <d v="2023-01-26T00:00:00"/>
    <d v="2023-12-23T00:00:00"/>
    <n v="331"/>
    <s v="MARITZA ROCÍO SERRANO VILLAMIL"/>
    <n v="393757630"/>
    <m/>
    <m/>
    <m/>
    <m/>
    <m/>
    <m/>
    <m/>
    <m/>
    <n v="77000000"/>
    <m/>
    <m/>
    <m/>
    <m/>
    <m/>
    <m/>
    <m/>
    <m/>
    <m/>
    <n v="331"/>
    <m/>
    <m/>
  </r>
  <r>
    <s v="UNIDAD ADMINISTRATIVA ESPECIAL MIGRACIÓN COLOMBIA"/>
    <s v="900477235-6"/>
    <s v="Secop II"/>
    <n v="51"/>
    <x v="4"/>
    <s v="20232501413000007E"/>
    <s v="PCD-036-2023-7TEC"/>
    <x v="0"/>
    <x v="9"/>
    <s v="contratacion directa "/>
    <s v="prestacion de servicios profesionales"/>
    <x v="10"/>
    <s v="Contratar la prestación de servicios profesionales para la configuración de ambientes, aplicaciones y versionamiento de código fuente de los sistemas de información de Migración Colombia"/>
    <s v="81-11-15"/>
    <s v="Servicios Basados en Ingeniería, Investigación y Tecnología -Servicios informáticos-Ingeniería de software o hardware"/>
    <n v="80500000"/>
    <n v="80500000"/>
    <n v="12123"/>
    <s v="C-1199-1002-10-0-1199001-02"/>
    <s v="Celebrado"/>
    <s v="En ejecución"/>
    <m/>
    <s v="CO-035-2023"/>
    <s v="Enero"/>
    <d v="2023-01-25T00:00:00"/>
    <s v="Prestación de Servicios Profesionales"/>
    <m/>
    <s v="Nivel Central"/>
    <s v="Bogotá D.C."/>
    <s v="ADRIAN AUGUSTO FERNANDEZ ANZOLA"/>
    <n v="72192898"/>
    <m/>
    <m/>
    <m/>
    <m/>
    <m/>
    <m/>
    <n v="123"/>
    <n v="24623"/>
    <d v="2023-01-24T00:00:00"/>
    <n v="80500000"/>
    <m/>
    <m/>
    <m/>
    <n v="80500000"/>
    <s v="SI"/>
    <d v="2023-01-24T00:00:00"/>
    <s v="2 CUMPLIMIENTO"/>
    <d v="2023-01-25T00:00:00"/>
    <d v="2023-12-31T00:00:00"/>
    <n v="340"/>
    <s v="DIEGO EMILIO OJEDA MONCAYO"/>
    <n v="19498970"/>
    <m/>
    <m/>
    <m/>
    <m/>
    <m/>
    <m/>
    <m/>
    <m/>
    <n v="80500000"/>
    <m/>
    <m/>
    <m/>
    <m/>
    <m/>
    <m/>
    <m/>
    <m/>
    <m/>
    <n v="340"/>
    <m/>
    <m/>
  </r>
  <r>
    <s v="UNIDAD ADMINISTRATIVA ESPECIAL MIGRACIÓN COLOMBIA"/>
    <s v="900477235-6"/>
    <s v="Secop II"/>
    <n v="251"/>
    <x v="4"/>
    <s v="20236111413000001E"/>
    <s v="PCD-043-2023-12TH"/>
    <x v="0"/>
    <x v="9"/>
    <s v="contratacion directa "/>
    <s v="prestacion de servicios profesionales"/>
    <x v="15"/>
    <s v="CONTRATAR LA PRESTACIÓN DE SERVICIOS PROFESIONALES ESPECIALIZADOS CON AUTONOMÍA TÉCNICA Y ADMINISTRATIVA PARA ACOMPAÑAR Y ORIENTAR JURÍDICAMENTE A LA SUBDIRECCIÓN DE TALENTO HUMANO DE MIGRACIÓN COLOMBIA EN LOS PROCESOS JURÍDICOS Y SOBRE TEMAS ADMINISTRATIVOS Y CONTRACTUALES, ENTRE OTROS ESPECIALIZADOS DEL CAMPO DEL DERECHO Y DE ACUERDO CON LAS FUNCIONES DE LA SUBDIRECCIÓN"/>
    <s v="80-16-15"/>
    <s v="Servicios de gestión, servicios profesionales de empresa y servicios administrativos-  Servicios de Administración de empresas- Servicios de Apoyo Gerencial"/>
    <n v="52500000"/>
    <n v="52500000"/>
    <n v="14123"/>
    <s v="A-02-02-02-008-003"/>
    <s v="Celebrado"/>
    <s v="En ejecución"/>
    <m/>
    <s v="CO-046-2023"/>
    <s v="Enero"/>
    <d v="2023-01-26T00:00:00"/>
    <s v="Prestación de Servicios Profesionales"/>
    <m/>
    <s v="Nivel Central"/>
    <s v="Bogotá D.C."/>
    <s v="JUAN CARLOS LOPEZ RICO"/>
    <n v="1014207920"/>
    <m/>
    <m/>
    <m/>
    <m/>
    <m/>
    <m/>
    <n v="123"/>
    <n v="27623"/>
    <d v="2023-01-26T00:00:00"/>
    <n v="52500000"/>
    <m/>
    <m/>
    <m/>
    <n v="52500000"/>
    <s v="SI"/>
    <d v="2023-01-25T00:00:00"/>
    <s v="2 CUMPLIMIENTO"/>
    <d v="2023-01-26T00:00:00"/>
    <d v="2023-08-26T00:00:00"/>
    <n v="212"/>
    <s v="ROSA MARÍA MARTÍNEZ GONZÁLEZ"/>
    <n v="51832657"/>
    <m/>
    <m/>
    <m/>
    <m/>
    <m/>
    <m/>
    <m/>
    <m/>
    <n v="52500000"/>
    <m/>
    <m/>
    <m/>
    <m/>
    <m/>
    <m/>
    <m/>
    <m/>
    <m/>
    <n v="212"/>
    <m/>
    <m/>
  </r>
  <r>
    <s v="UNIDAD ADMINISTRATIVA ESPECIAL MIGRACIÓN COLOMBIA"/>
    <s v="900477235-6"/>
    <s v="Secop II"/>
    <n v="200"/>
    <x v="3"/>
    <s v="20236221413000003E"/>
    <s v="PCD-044-2023-82SYF"/>
    <x v="0"/>
    <x v="9"/>
    <s v="Contratación Directa"/>
    <s v="Prestación de servicios Profesionales"/>
    <x v="16"/>
    <s v="Apoy ar a Migración Colombia en el desarrollo de nuevas funcionalidades y el mantenimiento, optimización e integración del sistema de gestión documental Orfeo."/>
    <n v="81111504"/>
    <s v="Serv icios de program ación de aplicacio nes"/>
    <n v="86250000"/>
    <n v="86250000"/>
    <n v="12623"/>
    <s v="C-1199-1002-8-0-1199018-02"/>
    <s v="Celebrado"/>
    <s v="En ejecución"/>
    <m/>
    <s v="CO-047-2023"/>
    <s v="Enero"/>
    <d v="2023-01-26T00:00:00"/>
    <s v="Prestación de Servicios Profesionales"/>
    <m/>
    <s v="Nivel Central "/>
    <s v="Bogotá D.C."/>
    <s v="FABIAN MAURICIO LOSADA FLÓREZ"/>
    <n v="80151371"/>
    <m/>
    <m/>
    <m/>
    <m/>
    <m/>
    <m/>
    <n v="123"/>
    <n v="27323"/>
    <d v="2023-01-26T00:00:00"/>
    <n v="86250000"/>
    <m/>
    <m/>
    <m/>
    <n v="86250000"/>
    <s v="SI"/>
    <d v="2023-01-26T00:00:00"/>
    <s v="2 CUMPLIMIENTO"/>
    <d v="2023-01-26T00:00:00"/>
    <d v="2023-12-31T00:00:00"/>
    <n v="339"/>
    <s v=" OJEDA MONCAYO DIEGO EMILIO"/>
    <n v="19498970"/>
    <m/>
    <m/>
    <m/>
    <m/>
    <m/>
    <m/>
    <m/>
    <m/>
    <n v="86250000"/>
    <m/>
    <m/>
    <m/>
    <m/>
    <m/>
    <m/>
    <m/>
    <m/>
    <m/>
    <n v="339"/>
    <m/>
    <m/>
  </r>
  <r>
    <s v="UNIDAD ADMINISTRATIVA ESPECIAL MIGRACIÓN COLOMBIA"/>
    <s v="900477235-6"/>
    <s v="Secop II"/>
    <n v="4"/>
    <x v="0"/>
    <s v="20236011413000002E"/>
    <s v="PCD-042-2023-4D"/>
    <x v="0"/>
    <x v="10"/>
    <s v="Contratación Directa"/>
    <s v="Prestación de Servicios Profesionales "/>
    <x v="0"/>
    <s v="PRESTAR LOS SERVICIOS PROFESIONALES ESPECIALIZADO CON AUTONOMÍA TÉCNICA Y ADMINISTRATIVA PARA APOYAR LA GESTIÓN DE LA DIRECCIÓN GENERAL DE MIGRACIÓN COLOMBIA, DE ACUERDO CON LAS CONDICIONES SEÑALADAS Y ESPECIFICACIONES TÉCNICAS DESCRITAS EN LOS ESTUDIOS PREVIOS."/>
    <n v="80161504"/>
    <s v="Servicios de oficina"/>
    <n v="80000000"/>
    <n v="80000000"/>
    <n v="14023"/>
    <s v="A-02-02-02-008-003"/>
    <s v="Celebrado"/>
    <s v="En ejecución"/>
    <m/>
    <s v="CO-050-2023"/>
    <s v="Enero"/>
    <d v="2023-01-26T00:00:00"/>
    <s v="Prestación de Servicios Profesionales"/>
    <m/>
    <s v="Nivel Central"/>
    <s v="Bogotá D.C."/>
    <s v="LUIS FERNANDO MARTÍNEZ VARGAS"/>
    <n v="79951390"/>
    <s v="-"/>
    <s v="ECONOMIA"/>
    <s v="NO"/>
    <s v="No es mypime"/>
    <s v="N/A"/>
    <d v="1979-06-08T00:00:00"/>
    <n v="44"/>
    <n v="27723"/>
    <d v="2023-01-26T00:00:00"/>
    <n v="80000000"/>
    <m/>
    <m/>
    <m/>
    <n v="80000000"/>
    <s v="Si "/>
    <d v="2023-01-27T00:00:00"/>
    <s v="2 CUMPLIMIENTO"/>
    <d v="2023-02-01T00:00:00"/>
    <d v="2023-10-01T00:00:00"/>
    <n v="242"/>
    <s v="MARIA PAULA AVILA GONZALEZ"/>
    <n v="52619262"/>
    <m/>
    <m/>
    <m/>
    <m/>
    <m/>
    <m/>
    <m/>
    <m/>
    <n v="80000000"/>
    <m/>
    <m/>
    <m/>
    <m/>
    <m/>
    <m/>
    <m/>
    <m/>
    <m/>
    <n v="242"/>
    <m/>
    <m/>
  </r>
  <r>
    <s v="UNIDAD ADMINISTRATIVA ESPECIAL MIGRACIÓN COLOMBIA"/>
    <s v="900477235-6"/>
    <s v="Secop II"/>
    <n v="8"/>
    <x v="0"/>
    <s v="20232121413000006E"/>
    <s v="PCD-054-2023-2P"/>
    <x v="0"/>
    <x v="10"/>
    <s v="Contratación Directa"/>
    <s v="Prestación de Servicios Profesionales "/>
    <x v="1"/>
    <s v="PRESTACIÓN DE SERVICIOS PROFESIONALES CON AUTONOMÍA TÉCNICA Y ADMINISTRATIVA PARA LA OFICINA ASESORA DE PLANEACIÓN EN TEMAS DE MEJORA CONTINUA Y SISTEMA INTEGRADO DE GESTIÓN."/>
    <s v="801615;80121704;80101605;81102702"/>
    <s v="Servicios de apoyo gerencial - Servicios legales sobre contratos - Servicios temporales de redacción - Servicio de ingeniería y diseño para sistemas de control de procesos"/>
    <n v="55000000"/>
    <n v="55000000"/>
    <n v="13823"/>
    <s v="C-1199-1002-11-0-1199060-02"/>
    <s v="Celebrado"/>
    <s v="En ejecución"/>
    <m/>
    <s v="CO-051-2023"/>
    <s v="Enero"/>
    <d v="2023-01-30T00:00:00"/>
    <s v="Prestación de Servicios Profesionales"/>
    <m/>
    <s v="Nivel Central"/>
    <s v="Bogotá D.C."/>
    <s v="HENRY SANTIAGO GUILLEN CABRERA"/>
    <n v="1016072632"/>
    <s v="-"/>
    <s v="INGENIERIA INDUSTRIAL"/>
    <s v="NO"/>
    <s v="No es mypime"/>
    <s v="N/A"/>
    <d v="1994-12-25T00:00:00"/>
    <n v="29"/>
    <n v="31123"/>
    <d v="2023-01-31T00:00:00"/>
    <n v="55000000"/>
    <m/>
    <m/>
    <m/>
    <n v="55000000"/>
    <s v="Si "/>
    <d v="2023-01-30T00:00:00"/>
    <s v="2 CUMPLIMIENTO"/>
    <d v="2023-02-01T00:00:00"/>
    <d v="2023-12-31T00:00:00"/>
    <n v="333"/>
    <s v="JORGE ENRIQUE GARCIA LONDOÑO"/>
    <n v="79276876"/>
    <m/>
    <m/>
    <m/>
    <m/>
    <m/>
    <m/>
    <m/>
    <m/>
    <n v="55000000"/>
    <m/>
    <m/>
    <m/>
    <m/>
    <m/>
    <m/>
    <m/>
    <m/>
    <m/>
    <n v="333"/>
    <m/>
    <m/>
  </r>
  <r>
    <s v="UNIDAD ADMINISTRATIVA ESPECIAL MIGRACIÓN COLOMBIA"/>
    <s v="900477235-6"/>
    <s v="Secop II"/>
    <n v="232"/>
    <x v="3"/>
    <s v="20236231415000001E"/>
    <s v="PCD-047-2023-7CM"/>
    <x v="0"/>
    <x v="11"/>
    <s v="Contratación Directa"/>
    <s v="Exclusividad"/>
    <x v="12"/>
    <s v="CONTRATAR EL SERVICIO DE MANTENIMIENTO PREVENTIVO DE LA MÁQUINA LÁSER TROTEC SP100R C30 Y DEL SUMINISTRO DEL SISTEMA DE EXTRACCIÓN 8260 ATMOS MONO Y SU RESPECTIVA BOLSA DE REPUESTOS."/>
    <n v="73152100"/>
    <s v="Servicios de mantenimien to y reparación de equipo de manufactura"/>
    <n v="16275000"/>
    <n v="16275000"/>
    <n v="13023"/>
    <s v="C-1199-1002-10-0-1199001-02"/>
    <s v="Cancelado"/>
    <s v="Desierto"/>
    <n v="342"/>
    <m/>
    <m/>
    <m/>
    <m/>
    <m/>
    <m/>
    <m/>
    <m/>
    <m/>
    <m/>
    <m/>
    <m/>
    <m/>
    <m/>
    <m/>
    <n v="123"/>
    <m/>
    <m/>
    <m/>
    <m/>
    <m/>
    <m/>
    <m/>
    <m/>
    <m/>
    <m/>
    <m/>
    <m/>
    <n v="0"/>
    <m/>
    <m/>
    <m/>
    <m/>
    <m/>
    <m/>
    <m/>
    <m/>
    <m/>
    <m/>
    <n v="0"/>
    <m/>
    <m/>
    <m/>
    <m/>
    <m/>
    <m/>
    <m/>
    <m/>
    <m/>
    <m/>
    <m/>
    <m/>
  </r>
  <r>
    <s v="UNIDAD ADMINISTRATIVA ESPECIAL MIGRACIÓN COLOMBIA"/>
    <s v="900477235-6"/>
    <s v="Secop II"/>
    <n v="11"/>
    <x v="2"/>
    <s v="20232121413000008E"/>
    <s v="PCD-046-2023-5P"/>
    <x v="0"/>
    <x v="12"/>
    <s v="Contratación Directa"/>
    <s v="Prestación de Servicios Profesionales "/>
    <x v="1"/>
    <s v="PRESTACIÓN DE SERVICIOS PROFESIONALES CON AUTONOMÍA TÉCNICA Y ADMINISTRATIVA EN LA OFICINA ASESORA DE PLANEACIÓN PARA LA ELABORACIÓN DE ANÁLISIS, INFORMES Y REPORTES DE REGISTROS ADMINISTRATIVOS."/>
    <s v="801615;80121704;80101605;81112006;81112007;811315;93121600"/>
    <s v="Servicios de apoyo gerencial"/>
    <n v="55000000"/>
    <n v="55000000"/>
    <n v="15723"/>
    <s v="C-1199-1002-11-0-1199054-02"/>
    <s v="Celebrado"/>
    <s v="En ejecución"/>
    <m/>
    <s v="CO-044-2023"/>
    <s v="Enero"/>
    <d v="2023-01-31T00:00:00"/>
    <s v="Prestación de Servicios Profesionales"/>
    <m/>
    <s v="Nivel Central"/>
    <s v="Bogotá D.C."/>
    <s v="CESAR EMILIO TORRES REYES"/>
    <n v="1082992710"/>
    <m/>
    <s v="DERECHO"/>
    <s v="NO"/>
    <m/>
    <m/>
    <n v="34658"/>
    <e v="#REF!"/>
    <n v="30923"/>
    <d v="2023-01-31T00:00:00"/>
    <n v="55000000"/>
    <m/>
    <m/>
    <m/>
    <n v="55000000"/>
    <s v="Si "/>
    <d v="2023-01-19T00:00:00"/>
    <s v="2 CUMPLIMIENTO"/>
    <d v="2023-01-30T00:00:00"/>
    <d v="2023-12-31T00:00:00"/>
    <n v="335"/>
    <s v="OSCAR ANDRES VALDERRAMA CANO"/>
    <n v="80791769"/>
    <m/>
    <m/>
    <m/>
    <m/>
    <m/>
    <m/>
    <m/>
    <m/>
    <e v="#REF!"/>
    <m/>
    <m/>
    <m/>
    <m/>
    <m/>
    <m/>
    <m/>
    <m/>
    <m/>
    <n v="335"/>
    <m/>
    <m/>
  </r>
  <r>
    <s v="UNIDAD ADMINISTRATIVA ESPECIAL MIGRACIÓN COLOMBIA"/>
    <s v="900477235-6"/>
    <s v="Secop II"/>
    <n v="3"/>
    <x v="2"/>
    <s v="20232111413000001E"/>
    <s v="PCD-050-2023-3D"/>
    <x v="0"/>
    <x v="12"/>
    <s v="Contratación Directa"/>
    <s v="Prestación de Servicios Profesionales "/>
    <x v="0"/>
    <s v="PRESTACIÖN DE SERVICIOS PROFESIONALES CON AUTONOMÍA TÉCNICA Y ADMINISTRATIVA PARA EL APOYO EN LA GESTIÓN DE LA DIRECCIÓN GENERAL EN EL SEGUIMIENTO A COMPROMISOS INTERNACIONALES  Y  PROYECTOS DE COOPERACIÓN INTERNACIONAL, DE ACUERDO CON LAS CONDICIONES SEÑALADAS Y ESPECIFICACIONES TÉCNICAS DESCRITAS EN LOS ESTUDIOS PREVIOS."/>
    <n v="80111600"/>
    <s v="Servicios de oficina"/>
    <n v="46000000"/>
    <n v="44000000"/>
    <n v="18823"/>
    <s v="A-02-02-02-008-003"/>
    <s v="Celebrado"/>
    <s v="En ejecución"/>
    <m/>
    <s v="CO-053-2023"/>
    <s v="Enero"/>
    <d v="2023-01-31T00:00:00"/>
    <s v="Prestación de Servicios Profesionales"/>
    <m/>
    <s v="Nivel Central"/>
    <s v="Bogotá D.C."/>
    <s v="MARÍA FERNANDA OSPINA CARO"/>
    <n v="1026593280"/>
    <m/>
    <s v="PROFESIONAL EN RELACIONES INTERNACIONALES "/>
    <s v="NO"/>
    <m/>
    <m/>
    <n v="35801"/>
    <e v="#REF!"/>
    <n v="30823"/>
    <d v="2023-01-31T00:00:00"/>
    <n v="44000000"/>
    <m/>
    <m/>
    <m/>
    <n v="44000000"/>
    <s v="Si "/>
    <d v="2023-01-30T00:00:00"/>
    <s v="2 CUMPLIMIENTO"/>
    <d v="2023-02-01T00:00:00"/>
    <d v="2023-12-31T00:00:00"/>
    <n v="333"/>
    <s v="Vanessa Ortiz López"/>
    <n v="1144031972"/>
    <m/>
    <m/>
    <m/>
    <m/>
    <m/>
    <m/>
    <m/>
    <m/>
    <e v="#REF!"/>
    <m/>
    <m/>
    <m/>
    <m/>
    <m/>
    <m/>
    <m/>
    <m/>
    <m/>
    <n v="333"/>
    <m/>
    <m/>
  </r>
  <r>
    <s v="UNIDAD ADMINISTRATIVA ESPECIAL MIGRACIÓN COLOMBIA"/>
    <s v="900477235-6"/>
    <s v="Secop II"/>
    <n v="24"/>
    <x v="4"/>
    <s v="20232241413000004E"/>
    <s v="PCD-055-2023-4J"/>
    <x v="0"/>
    <x v="12"/>
    <s v="contratacion directa "/>
    <s v="Prestacion de servicios apoyo a la gestion"/>
    <x v="9"/>
    <s v="PRESTACION DE SERVICIOS DE APOYO A LA GESTIÓN CON AUTONOMÍA TÉCNICA Y ADMINISTRATIVA PARA APOYAR AL GRUPO DE DEFENSA JUDICIAL, EXTRAJUDICIAL Y VÍA ADMINISTRATIVA DE LA OFICINA ASESORA JURÍDICA DE MIGRACIÓN COLOMBIA DE ACUERDO CON LAS CONDICIONES SEÑALADAS Y ESPECIFICACIONES TÉCNICAS DESCRITAS EN LOS ESTUDIOS PREVIOS"/>
    <s v="80-16-15-04"/>
    <s v="Servicios de Gestión, Servicios Profesionales de Empresa y Servicios Administrativos- Servicios de Administración de Empresas- Servicios de Apoyo Gerencial- Servicios de oficina"/>
    <n v="30800000"/>
    <n v="30800000"/>
    <n v="15523"/>
    <s v="A-02-02-02-008-003"/>
    <s v="Celebrado"/>
    <s v="En ejecución"/>
    <m/>
    <s v="CO-048-2023"/>
    <s v="Enero"/>
    <d v="2023-01-31T00:00:00"/>
    <s v="Prestacion de Servicios de Apoyo a la Gestion"/>
    <m/>
    <s v="Nivel Central"/>
    <s v="Bogotá D.C."/>
    <s v="NUBIA AMPARO RODRIGUEZ MORENO"/>
    <n v="51977370"/>
    <m/>
    <m/>
    <m/>
    <m/>
    <m/>
    <m/>
    <n v="123"/>
    <n v="30523"/>
    <d v="2023-01-30T00:00:00"/>
    <n v="30800000"/>
    <m/>
    <m/>
    <m/>
    <n v="30800000"/>
    <s v="SI"/>
    <d v="2023-01-30T00:00:00"/>
    <s v="2 CUMPLIMIENTO"/>
    <d v="2023-01-31T00:00:00"/>
    <d v="2023-12-31T00:00:00"/>
    <n v="334"/>
    <s v="CARLOS JULIO AVILA CORONEL"/>
    <n v="79279880"/>
    <m/>
    <m/>
    <m/>
    <m/>
    <m/>
    <m/>
    <m/>
    <m/>
    <n v="30800000"/>
    <m/>
    <m/>
    <m/>
    <m/>
    <m/>
    <m/>
    <m/>
    <m/>
    <m/>
    <n v="334"/>
    <m/>
    <m/>
  </r>
  <r>
    <s v="UNIDAD ADMINISTRATIVA ESPECIAL MIGRACIÓN COLOMBIA"/>
    <s v="900477235-6"/>
    <s v="Secop II"/>
    <n v="237"/>
    <x v="3"/>
    <s v="20234021413000001E"/>
    <s v="PCD-059-2023-4E"/>
    <x v="0"/>
    <x v="12"/>
    <s v="Contratación Directa"/>
    <s v="Prestación de servicios Profesionales"/>
    <x v="17"/>
    <s v="PRESTAR LOS SERVICIOS PROFESIONALES EN LA SUBDIRECCIÓN DE EXTRANJERÍA CON AUTONOMÍA TÉCNICA Y ADMINISTRATIVA, DE ACUERDO CON LAS CONDICIONES SEÑALADAS Y ESPECIFICACIONES TÉCNICAS DESCRITAS EN LOS ESTUDIOS PREVIOS"/>
    <n v="80111600"/>
    <s v="Serv icios de Personal temporal"/>
    <n v="77000000"/>
    <n v="77000000"/>
    <n v="18923"/>
    <s v="A-02-02-02-008-003"/>
    <s v="Celebrado"/>
    <s v="En ejecución"/>
    <m/>
    <s v="CO-054-2023"/>
    <s v="Enero"/>
    <d v="2023-01-30T00:00:00"/>
    <s v="Prestación de Servicios Profesionales"/>
    <m/>
    <s v="Nivel Central "/>
    <s v="Bogotá D.C."/>
    <s v="OSCAR FERNANDO FAJARDO"/>
    <n v="1121918009"/>
    <m/>
    <m/>
    <m/>
    <m/>
    <m/>
    <m/>
    <n v="123"/>
    <n v="30023"/>
    <d v="2023-01-30T00:00:00"/>
    <n v="77000000"/>
    <m/>
    <m/>
    <m/>
    <n v="77000000"/>
    <s v="SI"/>
    <d v="2023-01-30T00:00:00"/>
    <s v="2 CUMPLIMIENTO"/>
    <d v="2023-02-01T00:00:00"/>
    <d v="2023-12-31T00:00:00"/>
    <n v="333"/>
    <s v="BAUTISTA MARTINEZ MARGARITA MARIA"/>
    <n v="1010181437"/>
    <m/>
    <m/>
    <m/>
    <m/>
    <m/>
    <m/>
    <m/>
    <m/>
    <n v="77000000"/>
    <m/>
    <m/>
    <m/>
    <m/>
    <m/>
    <m/>
    <m/>
    <m/>
    <m/>
    <n v="333"/>
    <m/>
    <m/>
  </r>
  <r>
    <s v="UNIDAD ADMINISTRATIVA ESPECIAL MIGRACIÓN COLOMBIA"/>
    <s v="900477235-6"/>
    <s v="Secop II"/>
    <n v="25"/>
    <x v="2"/>
    <s v="20236231416000001E"/>
    <s v="PCD-057-2023-6J"/>
    <x v="0"/>
    <x v="13"/>
    <s v="Contratación Directa"/>
    <s v="Prestación de Servicios Profesionales "/>
    <x v="9"/>
    <s v="CONTRATAR LA PUBLICACIÓN EN EL DIARIO OFICIAL DE LOS ACTOS ADMINISTRATIVOS QUE DEMANDE LA UAEMC"/>
    <s v="82121506"/>
    <s v=" Impresión de publicaciones"/>
    <n v="6000000"/>
    <n v="6000000"/>
    <n v="15623"/>
    <s v="A-02-02-02-008-003"/>
    <s v="Celebrado"/>
    <s v="En ejecución"/>
    <m/>
    <s v="CO-070-2023"/>
    <s v="FEBRERO"/>
    <d v="2023-02-24T00:00:00"/>
    <s v="INTERADMINISTRATIVO"/>
    <m/>
    <s v="Nivel Central"/>
    <s v="Bogotá D.C."/>
    <s v="IMPRENTA NACIONAL DE COLOMBIA"/>
    <s v="830.001.113"/>
    <n v="1"/>
    <s v="N/A"/>
    <s v="NO"/>
    <m/>
    <m/>
    <m/>
    <e v="#REF!"/>
    <n v="42623"/>
    <d v="2023-02-24T00:00:00"/>
    <n v="6000000"/>
    <m/>
    <m/>
    <m/>
    <n v="6000000"/>
    <s v="NO"/>
    <s v="N/A"/>
    <s v="N/A"/>
    <d v="2023-02-24T00:00:00"/>
    <d v="2023-12-31T00:00:00"/>
    <n v="310"/>
    <s v="CARLOS JULIO AVILA CORONEL"/>
    <n v="79279880"/>
    <m/>
    <m/>
    <m/>
    <m/>
    <m/>
    <m/>
    <m/>
    <m/>
    <e v="#REF!"/>
    <m/>
    <m/>
    <m/>
    <m/>
    <m/>
    <m/>
    <m/>
    <m/>
    <m/>
    <n v="310"/>
    <m/>
    <m/>
  </r>
  <r>
    <s v="UNIDAD ADMINISTRATIVA ESPECIAL MIGRACIÓN COLOMBIA"/>
    <s v="900477235-6"/>
    <s v="Secop II"/>
    <n v="155"/>
    <x v="3"/>
    <s v="20236231414000001E"/>
    <s v="PCD-060-2023-37SYF"/>
    <x v="0"/>
    <x v="13"/>
    <s v="Contratación Directa"/>
    <s v="Arrendamiento"/>
    <x v="18"/>
    <s v="Contratar el arrendamiento de cupos de parqueadero para el parque automotor del Centro Facilitador de Serv icios Migratorios en la Ciudad de Riohacha"/>
    <n v="80131502"/>
    <s v="Arrendamien to de Instalaciones comerciales o Industriales"/>
    <n v="16400000"/>
    <n v="16170000"/>
    <n v="19323"/>
    <s v=" A-02-02-02-007-002"/>
    <s v="Cancelado"/>
    <s v="Desierto"/>
    <n v="226"/>
    <m/>
    <m/>
    <m/>
    <m/>
    <m/>
    <m/>
    <m/>
    <m/>
    <m/>
    <m/>
    <m/>
    <m/>
    <m/>
    <m/>
    <m/>
    <n v="123"/>
    <m/>
    <m/>
    <m/>
    <m/>
    <m/>
    <m/>
    <m/>
    <m/>
    <m/>
    <m/>
    <m/>
    <m/>
    <n v="0"/>
    <m/>
    <m/>
    <m/>
    <m/>
    <m/>
    <m/>
    <m/>
    <m/>
    <m/>
    <m/>
    <n v="0"/>
    <m/>
    <m/>
    <m/>
    <m/>
    <m/>
    <m/>
    <m/>
    <m/>
    <m/>
    <m/>
    <m/>
    <m/>
  </r>
  <r>
    <s v="UNIDAD ADMINISTRATIVA ESPECIAL MIGRACIÓN COLOMBIA"/>
    <s v="900477235-6"/>
    <s v="Secop II"/>
    <n v="239"/>
    <x v="1"/>
    <s v="20234021413000002E"/>
    <s v="PCD-056-2023-6E"/>
    <x v="0"/>
    <x v="14"/>
    <s v="Contratación Directa"/>
    <s v="Prestación de Servicios Profesionales "/>
    <x v="4"/>
    <s v="PRESTAR LOS SERVICIOS PROFESIONALES ESPECIALIZADOS EN LA SUBDIRECCIÓN DE EXTRANJERÍA CON AUTONOMÍA TÉCNICA Y ADMINISTRATIVA, DE ACUERDO CON LAS CONDICIONES SEÑALADAS Y ESPECIFICACIONES TÉCNICAS DESCRITAS EN LOS ESTUDIOS PREVIOS"/>
    <n v="80111600"/>
    <s v="Servicios de gestión, servicios profesionales de empresa y servicios administrativos"/>
    <n v="90000000"/>
    <n v="90000000"/>
    <n v="15223"/>
    <s v="A-02-02-02-008-003"/>
    <s v="Celebrado"/>
    <s v="En ejecución"/>
    <m/>
    <s v="CO-055-2023"/>
    <s v="FEBRERO"/>
    <d v="2023-02-01T00:00:00"/>
    <s v="Prestación de Servicios Profesionales"/>
    <m/>
    <s v="Nivel Central"/>
    <s v="Bogotá D.C."/>
    <s v="NESTOR DAVID MEDINA HERRERA"/>
    <n v="91534928"/>
    <m/>
    <m/>
    <m/>
    <m/>
    <m/>
    <m/>
    <n v="123"/>
    <n v="31623"/>
    <d v="2023-02-01T00:00:00"/>
    <n v="90000000"/>
    <m/>
    <m/>
    <m/>
    <n v="90000000"/>
    <s v="Si "/>
    <d v="2023-02-01T00:00:00"/>
    <s v="2 CUMPLIMIENTO"/>
    <d v="2023-02-01T00:00:00"/>
    <d v="2023-11-30T00:00:00"/>
    <n v="302"/>
    <s v="MARGARITA MARIA BAUTISTA MARTINEZ"/>
    <n v="1010181437"/>
    <m/>
    <m/>
    <m/>
    <m/>
    <m/>
    <m/>
    <m/>
    <m/>
    <n v="90000000"/>
    <m/>
    <m/>
    <m/>
    <m/>
    <m/>
    <m/>
    <m/>
    <m/>
    <m/>
    <n v="302"/>
    <m/>
    <m/>
  </r>
  <r>
    <s v="UNIDAD ADMINISTRATIVA ESPECIAL MIGRACIÓN COLOMBIA"/>
    <s v="900477235-6"/>
    <s v="Secop II"/>
    <n v="151"/>
    <x v="1"/>
    <s v="20236231414000002E"/>
    <s v="PCD-061-2023-33SYF"/>
    <x v="0"/>
    <x v="14"/>
    <s v="Contratación Directa"/>
    <s v="Arrendamiento"/>
    <x v="3"/>
    <s v="Contratar el arriendo del parqueadero para el CFSM en la ciudad de Valledupar"/>
    <n v="80131502"/>
    <s v="Alquiler y arrendamiento de propiedades o edificaciones."/>
    <n v="4950000"/>
    <n v="4800000"/>
    <n v="19423"/>
    <s v="A-02-02-02-007-002"/>
    <s v="Cancelado"/>
    <s v="Desierto"/>
    <s v="O341"/>
    <m/>
    <m/>
    <m/>
    <m/>
    <m/>
    <m/>
    <m/>
    <m/>
    <m/>
    <m/>
    <m/>
    <m/>
    <m/>
    <m/>
    <m/>
    <n v="123"/>
    <m/>
    <m/>
    <m/>
    <m/>
    <m/>
    <m/>
    <m/>
    <m/>
    <m/>
    <m/>
    <m/>
    <m/>
    <n v="0"/>
    <m/>
    <m/>
    <m/>
    <m/>
    <m/>
    <m/>
    <m/>
    <m/>
    <m/>
    <m/>
    <n v="0"/>
    <m/>
    <m/>
    <m/>
    <m/>
    <m/>
    <m/>
    <m/>
    <m/>
    <m/>
    <n v="0"/>
    <m/>
    <m/>
  </r>
  <r>
    <s v="UNIDAD ADMINISTRATIVA ESPECIAL MIGRACIÓN COLOMBIA"/>
    <s v="900477235-6"/>
    <s v="Secop II"/>
    <n v="13"/>
    <x v="2"/>
    <s v="20232121413000007E"/>
    <s v="PCD-048-2023-7P"/>
    <x v="0"/>
    <x v="14"/>
    <s v="Contratación Directa"/>
    <s v="Prestación de Servicios Profesionales "/>
    <x v="1"/>
    <s v="PRESTACIÓN DE SERVICIOS PROFESIONALES CON AUTONOMÍA TÉCNICA Y ADMINISTRATIVA EN LA OFICINA ASESORA DE PLANEACIÓN, EN ASUNTOS JURÍDICOS PARA LA ESTRUCTURACIÓN DE ESTUDIOS EN PRO DEL MEJORAMIENTO EN LA OPERATIVIDAD MISIONAL Y ADMINISTRATIVA DE LA ENTIDAD."/>
    <s v="801615;801015;80121704;80101605;80121803"/>
    <s v="Servicios de apoyo gerencial"/>
    <n v="66000000"/>
    <n v="66000000"/>
    <n v="15423"/>
    <s v="C-1199-1002-11-0-1199060-02"/>
    <s v="Celebrado"/>
    <s v="En ejecución"/>
    <m/>
    <s v="CO-049-2023"/>
    <s v="FEBRERO"/>
    <d v="2023-02-01T00:00:00"/>
    <s v="Prestación de Servicios Profesionales"/>
    <m/>
    <s v="Nivel Central"/>
    <s v="Bogotá D.C."/>
    <s v="GLADYS GUTIERREZ UPEGUI"/>
    <s v=" 38249742"/>
    <m/>
    <s v="Ingeniería de Sistemas"/>
    <s v="NO"/>
    <m/>
    <m/>
    <n v="22193"/>
    <e v="#REF!"/>
    <n v="31823"/>
    <d v="2023-02-02T00:00:00"/>
    <n v="66000000"/>
    <m/>
    <m/>
    <m/>
    <n v="66000000"/>
    <s v="Si "/>
    <d v="2023-02-02T00:00:00"/>
    <s v="2 CUMPLIMIENTO"/>
    <d v="2023-02-06T00:00:00"/>
    <d v="2023-12-31T00:00:00"/>
    <n v="328"/>
    <s v="JORGE ENRIQUE GARCIA LONDOÑO"/>
    <n v="79276876"/>
    <m/>
    <m/>
    <m/>
    <m/>
    <m/>
    <m/>
    <m/>
    <m/>
    <e v="#REF!"/>
    <m/>
    <m/>
    <m/>
    <m/>
    <m/>
    <m/>
    <m/>
    <m/>
    <m/>
    <n v="328"/>
    <m/>
    <m/>
  </r>
  <r>
    <s v="UNIDAD ADMINISTRATIVA ESPECIAL MIGRACIÓN COLOMBIA"/>
    <s v="900477235-6"/>
    <s v="Secop II"/>
    <n v="15"/>
    <x v="2"/>
    <s v="20232121413000010E"/>
    <s v="PCD-049-2023-9P"/>
    <x v="0"/>
    <x v="14"/>
    <s v="Contratación Directa"/>
    <s v="Prestación de Servicios Profesionales "/>
    <x v="1"/>
    <s v="PRESTACIÓN DE SERVICIOS PROFESIONALES CON AUTONOMÍA TÉCNICA Y ADMINISTRATIVA EN LA OFICINA ASESORA DE PLANEACIÓN, PARA LA ADMINISTRACIÓN, GESTIONAMIENTO, PROCESAMIENTO Y ORGANIZACIÓN DE DATOS PARA EL GEME."/>
    <s v="80161500;80121704;80101605;81112006;81112007;81102702"/>
    <s v=" Servicios de apoyo gerencial"/>
    <n v="55000000"/>
    <n v="55000000"/>
    <n v="15123"/>
    <s v="C-1199-1002-11-0-1199054-02"/>
    <s v="Celebrado"/>
    <s v="En ejecución"/>
    <m/>
    <s v="CO-057-2023"/>
    <s v="FEBRERO"/>
    <d v="2023-02-01T00:00:00"/>
    <s v="Prestación de Servicios Profesionales"/>
    <m/>
    <s v="Nivel Central"/>
    <s v="Bogotá D.C."/>
    <s v="MARIA LUISA ORTIZ"/>
    <n v="21013881"/>
    <m/>
    <s v="Ingeniería de Sistemas"/>
    <s v="NO"/>
    <m/>
    <m/>
    <n v="21938"/>
    <e v="#REF!"/>
    <n v="15123"/>
    <d v="2023-02-02T00:00:00"/>
    <n v="55000000"/>
    <m/>
    <m/>
    <m/>
    <n v="55000000"/>
    <s v="Si "/>
    <d v="2023-02-02T00:00:00"/>
    <s v="2 CUMPLIMIENTO"/>
    <d v="2023-02-02T00:00:00"/>
    <d v="2023-12-31T00:00:00"/>
    <n v="332"/>
    <s v="JORGE ENRIQUE GARCIA LONDOÑO"/>
    <n v="79276876"/>
    <m/>
    <m/>
    <m/>
    <m/>
    <m/>
    <m/>
    <m/>
    <m/>
    <e v="#REF!"/>
    <m/>
    <m/>
    <m/>
    <m/>
    <m/>
    <m/>
    <m/>
    <m/>
    <m/>
    <n v="332"/>
    <m/>
    <m/>
  </r>
  <r>
    <s v="UNIDAD ADMINISTRATIVA ESPECIAL MIGRACIÓN COLOMBIA"/>
    <s v="900477235-6"/>
    <s v="Secop II"/>
    <n v="16"/>
    <x v="2"/>
    <s v="20232121413000009E"/>
    <s v="PCD-051-2023-10P"/>
    <x v="0"/>
    <x v="14"/>
    <s v="Contratación Directa"/>
    <s v="Prestación de Servicios Profesionales "/>
    <x v="1"/>
    <s v="PRESTACIÓN DE SERVICIOS PROFESIONALES CON AUTONOMÍA TÉCNICA Y ADMINISTRATIVA EN LA OFICINA ASESORA DE PLANEACIÓN PARA LA CONSOLIDACIÓN DEL SISTEMA INTEGRADO DE GESTIÓN Y FORTALECIMIENTO DE LA GESTIÓN ORGANIZACIONAL."/>
    <s v="801615;80121704;80101605;81102702"/>
    <s v="Servicios de apoyo gerencial"/>
    <n v="55000000"/>
    <n v="55000000"/>
    <n v="15323"/>
    <s v="C-1199-1002-11-0-1199060-02"/>
    <s v="Celebrado"/>
    <s v="En ejecución"/>
    <m/>
    <s v="CO-056-2023"/>
    <s v="Enero"/>
    <d v="2023-01-31T00:00:00"/>
    <s v="Prestación de Servicios Profesionales"/>
    <m/>
    <s v="Nivel Central"/>
    <s v="Bogotá D.C."/>
    <s v="MARIA ALEJANDRA GRACIA MONTERO"/>
    <n v="1003821306"/>
    <m/>
    <s v="INGENIERA DE SISTEMAS "/>
    <s v="NO"/>
    <m/>
    <m/>
    <n v="32417"/>
    <e v="#REF!"/>
    <n v="33323"/>
    <d v="2023-02-23T00:00:00"/>
    <n v="55000000"/>
    <m/>
    <m/>
    <m/>
    <n v="55000000"/>
    <s v="SI"/>
    <d v="2023-02-03T00:00:00"/>
    <s v="2 CUMPLIMIENTO"/>
    <d v="2023-02-03T00:00:00"/>
    <d v="2023-12-31T00:00:00"/>
    <n v="331"/>
    <s v="JORGE ENRIQUE GARCIA LONDOÑO"/>
    <n v="79276876"/>
    <m/>
    <m/>
    <m/>
    <m/>
    <m/>
    <m/>
    <m/>
    <m/>
    <e v="#REF!"/>
    <m/>
    <m/>
    <m/>
    <m/>
    <m/>
    <m/>
    <m/>
    <m/>
    <m/>
    <n v="331"/>
    <m/>
    <m/>
  </r>
  <r>
    <s v="UNIDAD ADMINISTRATIVA ESPECIAL MIGRACIÓN COLOMBIA"/>
    <s v="900477235-6"/>
    <s v="Secop II"/>
    <n v="6"/>
    <x v="2"/>
    <s v="20236311413000002E"/>
    <s v="PCD-058-2023-6D"/>
    <x v="0"/>
    <x v="14"/>
    <s v="Contratación Directa"/>
    <s v="Prestación de Servicios Profesionales "/>
    <x v="19"/>
    <s v="PRESTACIÖN DE SERVICIOS DE APOYO A LA GESTIÓN DE LA SUBDIRECCIÓN DE CONTROL DISCIPLINARIO INTERNO, EN LAS LABORES SECRETARIALES, DE ACUERDO CON LAS CONDICIONES SEÑALADAS Y ESPECIFICACIONES TÉCNICAS DESCRITAS EN LOS ESTUDIOS PREVIOS."/>
    <n v="80161500"/>
    <s v=" Servicios de apoyo gerencial"/>
    <n v="29700000"/>
    <n v="29700000"/>
    <n v="10223"/>
    <s v="A-02-02-02-008-003"/>
    <s v="Celebrado"/>
    <s v="En ejecución"/>
    <m/>
    <s v="CO-052-2023"/>
    <s v="FEBRERO"/>
    <d v="2023-02-01T00:00:00"/>
    <s v="Prestación de Servicios de apoyo a la Gestion "/>
    <m/>
    <s v="Nivel Central"/>
    <s v="Bogotá D.C."/>
    <s v="DIANA MARCELA RUBIO ACOSTA"/>
    <n v="53030141"/>
    <m/>
    <s v="BACHILLER"/>
    <s v="NO"/>
    <m/>
    <m/>
    <n v="35883"/>
    <e v="#REF!"/>
    <n v="31523"/>
    <d v="2023-02-01T00:00:00"/>
    <n v="29700000"/>
    <m/>
    <m/>
    <m/>
    <n v="29700000"/>
    <s v="Si "/>
    <d v="2023-01-19T00:00:00"/>
    <s v="2 CUMPLIMIENTO"/>
    <d v="2023-02-01T00:00:00"/>
    <d v="2023-12-31T00:00:00"/>
    <n v="333"/>
    <s v="MARTHA EUGENIA RAMOS OSPINA "/>
    <n v="55164919"/>
    <m/>
    <m/>
    <m/>
    <m/>
    <m/>
    <m/>
    <m/>
    <m/>
    <e v="#REF!"/>
    <m/>
    <m/>
    <m/>
    <m/>
    <m/>
    <m/>
    <m/>
    <m/>
    <m/>
    <n v="333"/>
    <m/>
    <m/>
  </r>
  <r>
    <s v="UNIDAD ADMINISTRATIVA ESPECIAL MIGRACIÓN COLOMBIA"/>
    <s v="900477235-6"/>
    <s v="Secop II"/>
    <n v="206"/>
    <x v="0"/>
    <s v="20236211413000005E"/>
    <s v="PCD-063-2023-88SYF"/>
    <x v="1"/>
    <x v="15"/>
    <s v="Contratación Directa"/>
    <s v="Prestación de Servicios Profesionales "/>
    <x v="3"/>
    <s v="PRESTAR LOS SERVICIOS PROFESIONALES DE ARQUITECTURA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3, ASÍ COMO LA SUPERVISIÓN TÉCNICA DE LOS CONTRATOS DONDE SEA ASIGNADO DE ACUERDO CON LAS CONDICIONES SEÑALADAS Y ESPECIFICACIONES TÉCNICAS DESCRITAS EN LOS DOCUMENTOS, ESTUDIOS PREVIOS Y EL CONTRATO."/>
    <s v="81101508;80161500;80161504;80121704"/>
    <s v="Ingeniería arquitectónica - Servicios de apoyo gerencial - Servicios de oficina - Servicios legales sobre contratos"/>
    <n v="66000000"/>
    <n v="66000000"/>
    <n v="19523"/>
    <s v="C-1103-1002-2-0-1103002-02"/>
    <s v="Celebrado"/>
    <s v="En ejecución"/>
    <m/>
    <s v="CO-059-2023"/>
    <s v="FEBRERO"/>
    <d v="2023-02-08T00:00:00"/>
    <s v="Prestación de Servicios Profesionales "/>
    <m/>
    <s v="Nivel Central"/>
    <s v="Bogotá D.C."/>
    <s v="EDUARDO ALFONSO ARANGUREN"/>
    <n v="7214449"/>
    <s v="-"/>
    <s v="ARQUITECTURA"/>
    <s v="NO"/>
    <s v="No es mypime"/>
    <s v="N/A"/>
    <n v="21224"/>
    <e v="#REF!"/>
    <n v="35123"/>
    <d v="2023-02-07T00:00:00"/>
    <n v="66000000"/>
    <m/>
    <m/>
    <m/>
    <n v="66000000"/>
    <s v="Si "/>
    <d v="2023-02-07T00:00:00"/>
    <s v="2 CUMPLIMIENTO"/>
    <d v="2023-02-09T00:00:00"/>
    <d v="2023-12-31T00:00:00"/>
    <n v="325"/>
    <s v="JESUS ANDRES PORRAS GARCIA"/>
    <n v="79994053"/>
    <m/>
    <m/>
    <m/>
    <m/>
    <m/>
    <m/>
    <m/>
    <m/>
    <e v="#REF!"/>
    <m/>
    <m/>
    <m/>
    <m/>
    <m/>
    <m/>
    <m/>
    <m/>
    <m/>
    <n v="325"/>
    <m/>
    <m/>
  </r>
  <r>
    <s v="UNIDAD ADMINISTRATIVA ESPECIAL MIGRACIÓN COLOMBIA"/>
    <s v="900477235-6"/>
    <s v="Secop II"/>
    <n v="275"/>
    <x v="0"/>
    <s v="20232501413000013E"/>
    <s v="PCD-062-2023-TEC"/>
    <x v="1"/>
    <x v="15"/>
    <s v="Contratación Directa"/>
    <s v="Prestación de Servicios Profesionales "/>
    <x v="2"/>
    <s v="CONTRATAR LA PRESTACIÓN DE LOS SERVICIOS DE APOYO A LA GESTIÓN EN LA OFICINA DE TECNOLOGÍA DE LA INFORMACIÓN, DE ACUERDO CON LAS CONDICIONES Y ESPECIFICACIONES TÉCNICAS DESCRITAS EN LOS ESTUDIOS PREVIOS"/>
    <s v="81111803;81102701;81111820;81111809"/>
    <s v="Mantenimiento o soporte de redes de área local (lan) - Servicio de ingeniería para sistemas de control y monitoreo de incendios y gas - Servicios de funcionalidad del sistema - Servicio de instalación de sistemas"/>
    <n v="38500000"/>
    <n v="38500000"/>
    <n v="14623"/>
    <s v="C-1199-1002-10-0-1199001-02"/>
    <s v="Celebrado"/>
    <s v="En ejecución"/>
    <m/>
    <s v="CO-058-2023"/>
    <s v="FEBRERO"/>
    <d v="2023-02-07T00:00:00"/>
    <s v="Prestación de Servicios Profesionales "/>
    <m/>
    <s v="Nivel Central"/>
    <s v="Bogotá D.C."/>
    <s v="NÉSTOR HERNANDO MONTENEGRO GÓMEZ"/>
    <n v="19262345"/>
    <s v="-"/>
    <s v="BACHILLER ACADÉMICO"/>
    <s v="NO"/>
    <s v="No es mypime"/>
    <s v="N/A"/>
    <n v="20684"/>
    <e v="#REF!"/>
    <n v="35023"/>
    <d v="2023-02-07T00:00:00"/>
    <n v="38500000"/>
    <m/>
    <m/>
    <m/>
    <n v="38500000"/>
    <s v="Si "/>
    <d v="2023-02-06T00:00:00"/>
    <s v="2 CUMPLIMIENTO"/>
    <d v="2023-02-07T00:00:00"/>
    <d v="2023-12-31T00:00:00"/>
    <n v="327"/>
    <s v="DIEGO EMILIO OJEDA MONCAYO"/>
    <n v="19498970"/>
    <m/>
    <m/>
    <m/>
    <m/>
    <m/>
    <m/>
    <m/>
    <m/>
    <e v="#REF!"/>
    <m/>
    <m/>
    <m/>
    <m/>
    <m/>
    <m/>
    <m/>
    <m/>
    <m/>
    <n v="327"/>
    <m/>
    <m/>
  </r>
  <r>
    <s v="UNIDAD ADMINISTRATIVA ESPECIAL MIGRACIÓN COLOMBIA"/>
    <s v="900477235-6"/>
    <s v="Secop II"/>
    <n v="64"/>
    <x v="1"/>
    <s v="20236231408000001E"/>
    <s v="SIE-001-2023"/>
    <x v="1"/>
    <x v="16"/>
    <s v="Selección Abreviada"/>
    <s v="Subasta Inversa Electrónica"/>
    <x v="10"/>
    <s v="CONTRATAR EL SERVICIO DE SOPORTE ESPECIALIZADO EN BASES DE DATOS, SISTEMAS OPERATIVOS E INFRAESTRUCTURA TECNOLÓGICA DE LA PLATAFORMA MISIONAL DE MIGRACIÓN COLOMBIA."/>
    <n v="43232300"/>
    <s v="Difusión de tecnologías de información y telecomunicaciones"/>
    <n v="760000000"/>
    <n v="759787267"/>
    <n v="15923"/>
    <s v="C-1199-1002-10-0-1199001-02"/>
    <s v="En tramite "/>
    <m/>
    <m/>
    <m/>
    <m/>
    <m/>
    <m/>
    <m/>
    <m/>
    <m/>
    <m/>
    <m/>
    <m/>
    <m/>
    <m/>
    <m/>
    <m/>
    <m/>
    <m/>
    <m/>
    <m/>
    <m/>
    <m/>
    <m/>
    <m/>
    <m/>
    <m/>
    <m/>
    <m/>
    <m/>
    <m/>
    <n v="0"/>
    <m/>
    <m/>
    <m/>
    <m/>
    <m/>
    <m/>
    <m/>
    <m/>
    <m/>
    <m/>
    <m/>
    <m/>
    <m/>
    <m/>
    <m/>
    <m/>
    <m/>
    <m/>
    <m/>
    <m/>
    <m/>
    <m/>
    <m/>
  </r>
  <r>
    <s v="UNIDAD ADMINISTRATIVA ESPECIAL MIGRACIÓN COLOMBIA"/>
    <s v="900477235-6"/>
    <s v="Secop II"/>
    <n v="5"/>
    <x v="2"/>
    <s v="20236301413000001E"/>
    <s v="PCD-071-2023-5D"/>
    <x v="1"/>
    <x v="17"/>
    <s v="Contratación Directa"/>
    <s v="Prestación de Servicios Profesionales "/>
    <x v="20"/>
    <s v="PRESTAR LOS SERVICIOS PROFESIONALES PARA APOYAR LA GESTIÓN DE LA SUBDIRECCIÓN DE CONTROL DISCIPLINARIO INTERNO, EN LOS TEMAS JURÍDICOS DISCIPLINARIOS Y LAS LABORES ADMINISTRATIVAS QUE SE LE ASIGNEN, DE ACUERDO CON LAS CONDICIONES SEÑALADAS Y ESPECIFICACIONES TÉCNICAS DESCRITAS EN LOS ESTUDIOS PREVIOS."/>
    <n v="80111607"/>
    <s v=" Necesidades de dotación de personal jurídico temporal"/>
    <n v="52750000"/>
    <n v="52750000"/>
    <n v="21023"/>
    <s v="A-02-02-02-008-003"/>
    <s v="Celebrado"/>
    <s v="En ejecución"/>
    <m/>
    <s v="CO-065-2023"/>
    <s v="FEBRERO"/>
    <d v="2023-02-13T00:00:00"/>
    <s v="Prestación de Servicios Profesionales"/>
    <m/>
    <s v="Nivel Central"/>
    <s v="Bogotá D.C."/>
    <s v="YULENY FERNANDA FARFÁN LÓPEZ"/>
    <n v="1084258429"/>
    <m/>
    <s v="DERECHO"/>
    <s v="NO"/>
    <m/>
    <m/>
    <n v="34725"/>
    <e v="#REF!"/>
    <n v="37223"/>
    <d v="2023-02-14T00:00:00"/>
    <n v="52500000"/>
    <m/>
    <m/>
    <m/>
    <n v="52500000"/>
    <s v="SI"/>
    <d v="2023-02-14T00:00:00"/>
    <s v="2 CUMPLIMIENTO"/>
    <d v="2023-02-15T00:00:00"/>
    <d v="2023-12-31T00:00:00"/>
    <n v="319"/>
    <s v="MARTHA EUGENIA RAMOS "/>
    <n v="55164919"/>
    <m/>
    <m/>
    <m/>
    <m/>
    <m/>
    <m/>
    <m/>
    <m/>
    <e v="#REF!"/>
    <m/>
    <m/>
    <m/>
    <m/>
    <m/>
    <m/>
    <m/>
    <m/>
    <m/>
    <n v="319"/>
    <m/>
    <m/>
  </r>
  <r>
    <s v="UNIDAD ADMINISTRATIVA ESPECIAL MIGRACIÓN COLOMBIA"/>
    <s v="900477235-6"/>
    <s v="Secop II"/>
    <n v="201"/>
    <x v="0"/>
    <s v="20236221413000004E"/>
    <s v="PCD-067-2023-83SYF"/>
    <x v="1"/>
    <x v="17"/>
    <s v="Contratación Directa"/>
    <s v="Prestación de Servicios Profesionales "/>
    <x v="3"/>
    <s v="PRESTACIÓN DE SERVICIOS PROFESIONALES PARA APOYAR A MIGRACIÓN COLOMBIA EN EL DESARROLLO, OPTIMIZACIÓN Y MANTENIMIENTO DE FUNCIONALIDADES DEL SISTEMA DE GESTIÓN DOCUMENTAL ORFEO"/>
    <n v="81111504"/>
    <s v="Servicios de oficina"/>
    <n v="90000000"/>
    <n v="90000000"/>
    <n v="12723"/>
    <s v="C-1199-1002-8-0-1199018-02"/>
    <s v="Celebrado"/>
    <s v="En ejecución"/>
    <m/>
    <s v="CO-062-2023"/>
    <s v="FEBRERO"/>
    <d v="2023-02-10T00:00:00"/>
    <s v="Prestación de Servicios Profesionales "/>
    <m/>
    <s v="Nivel Central"/>
    <s v="Bogotá D.C."/>
    <s v="LILIANA GÓMEZ VELASQUEZ"/>
    <n v="51833082"/>
    <s v="-"/>
    <s v="INGENIERIA DE SISTEMAS"/>
    <s v="NO"/>
    <s v="No es mypime"/>
    <s v="N/A"/>
    <n v="24402"/>
    <e v="#REF!"/>
    <n v="36323"/>
    <d v="2023-02-10T00:00:00"/>
    <n v="90000000"/>
    <m/>
    <m/>
    <m/>
    <n v="90000000"/>
    <s v="Si "/>
    <d v="2023-02-10T00:00:00"/>
    <s v="2 CUMPLIMIENTO"/>
    <d v="2023-02-13T00:00:00"/>
    <d v="2023-12-12T00:00:00"/>
    <n v="302"/>
    <s v="DIEGO EMILIO OJEDA MONCAYO"/>
    <n v="19498970"/>
    <m/>
    <m/>
    <m/>
    <m/>
    <m/>
    <m/>
    <m/>
    <m/>
    <e v="#REF!"/>
    <m/>
    <m/>
    <m/>
    <m/>
    <m/>
    <m/>
    <m/>
    <m/>
    <m/>
    <n v="302"/>
    <m/>
    <m/>
  </r>
  <r>
    <s v="UNIDAD ADMINISTRATIVA ESPECIAL MIGRACIÓN COLOMBIA"/>
    <s v="900477235-6"/>
    <s v="Secop II"/>
    <n v="254"/>
    <x v="2"/>
    <s v="20236231416000003E"/>
    <s v="PCD-068-2023-15TH"/>
    <x v="1"/>
    <x v="18"/>
    <s v="Contratación Directa"/>
    <s v="Prestación de Servicios Profesionales "/>
    <x v="21"/>
    <s v="CONTRATAR LA PRESTACIÓN DEL SERVICIO DE ALOJAMIENTO, ALIMENTACIÓN Y APOYO LOGÍSTICO PARA ACTIVIDADES DE CAPACITACIÓN A NIVEL NACIONAL"/>
    <s v="80131504"/>
    <s v="Servicio de alojamiento temporal offshore"/>
    <n v="75000000"/>
    <n v="75000000"/>
    <n v="21623"/>
    <s v="A-02-02-02-008-003"/>
    <s v="Celebrado"/>
    <s v="En ejecución"/>
    <m/>
    <s v="CO-083-2023"/>
    <s v="FEBRERO"/>
    <d v="2023-03-02T00:00:00"/>
    <s v="INTERADMINISTRATIVO"/>
    <m/>
    <s v="Nivel Central"/>
    <s v="Bogotá D.C."/>
    <s v="SOCIEDAD HOTELERA TEQUENDAMA S.A."/>
    <s v=" 860006543"/>
    <m/>
    <s v="N/A"/>
    <s v="NO"/>
    <m/>
    <m/>
    <m/>
    <e v="#REF!"/>
    <n v="44523"/>
    <d v="2023-03-02T00:00:00"/>
    <n v="75000000"/>
    <m/>
    <m/>
    <m/>
    <n v="75000000"/>
    <s v="NO"/>
    <s v="N/A"/>
    <s v="N/A"/>
    <d v="2023-03-02T00:00:00"/>
    <d v="2023-12-31T00:00:00"/>
    <n v="304"/>
    <s v="ROSA MARIA MARTINEZ "/>
    <n v="51832657"/>
    <m/>
    <m/>
    <m/>
    <m/>
    <m/>
    <m/>
    <m/>
    <m/>
    <e v="#REF!"/>
    <m/>
    <m/>
    <m/>
    <m/>
    <m/>
    <m/>
    <m/>
    <m/>
    <m/>
    <n v="304"/>
    <m/>
    <m/>
  </r>
  <r>
    <s v="UNIDAD ADMINISTRATIVA ESPECIAL MIGRACIÓN COLOMBIA"/>
    <s v="900477235-7"/>
    <s v="TVEC"/>
    <n v="223"/>
    <x v="4"/>
    <s v="20236231410000001E"/>
    <n v="176316"/>
    <x v="1"/>
    <x v="18"/>
    <s v="minima cuantia"/>
    <s v="grandes superficies"/>
    <x v="22"/>
    <s v="CONTRATAR LA ADQUISICIÓN DE ELEMENTOS DE PROTECCIÓN PERSONAL E INDIVIDUAL (ELEMENTOS DE PROTECCIÓN FONDEO (CHALECOS SALVAVIDAS, MOSQUETONES, CORDINO, GUANTES DE BAQUETA, BOTAS)) PARA LOS FUNCIONARIOS QUE REALIZAN OTRAS ACTIVIDADES MISIONALES, TENIENDO EN CUENTA LO CONTEMPLADO POR SALUD OCUPACIONAL"/>
    <s v="24141608 ,73141710 , 46181503"/>
    <s v="Maquinaria, accesorios y  Suministros para manejo Acondicionamiento y almacenamiento de materiales ,Suministro de embalaje Rosales vivos rojos o burgundy Protecciones externas -Servicios de producción industrial y manufactura - Equipos y Suministros de Defensa orden publico Protección, Vigilancia y seguridad "/>
    <n v="44000000"/>
    <n v="44000000"/>
    <n v="22423"/>
    <s v="A-02-02-01-002-008"/>
    <s v="Celebrado"/>
    <s v="En ejecución"/>
    <m/>
    <s v="OC-105105"/>
    <s v="FEBRERO"/>
    <d v="2023-02-22T00:00:00"/>
    <s v="minima cuantia grandes superficies"/>
    <m/>
    <s v="Nivel Central"/>
    <s v="Bogotá D.C."/>
    <s v="CENCOSUD COLOMBIA S.A."/>
    <n v="900155107"/>
    <m/>
    <m/>
    <m/>
    <m/>
    <m/>
    <m/>
    <n v="123"/>
    <n v="41423"/>
    <d v="2023-02-23T00:00:00"/>
    <n v="43813500"/>
    <m/>
    <m/>
    <m/>
    <n v="43813500"/>
    <s v="NO"/>
    <s v="N/A"/>
    <s v="N/A"/>
    <d v="2023-02-22T00:00:00"/>
    <d v="2023-04-20T00:00:00"/>
    <n v="57"/>
    <s v="Rubi Villarraga"/>
    <n v="52665963"/>
    <m/>
    <m/>
    <m/>
    <m/>
    <m/>
    <m/>
    <m/>
    <m/>
    <n v="43813500"/>
    <m/>
    <m/>
    <m/>
    <m/>
    <m/>
    <m/>
    <m/>
    <m/>
    <m/>
    <n v="57"/>
    <m/>
    <m/>
  </r>
  <r>
    <s v="UNIDAD ADMINISTRATIVA ESPECIAL MIGRACIÓN COLOMBIA"/>
    <s v="900477235-10"/>
    <s v="Secop II"/>
    <n v="67"/>
    <x v="4"/>
    <s v="20232501413000018E"/>
    <s v="PCD-066-2023-24TEC"/>
    <x v="1"/>
    <x v="19"/>
    <s v="Contratación Directa"/>
    <s v="Prestación de Servicios Profesionales "/>
    <x v="10"/>
    <s v="Contratar la prestación de servicios profesionales para realizar actividades en mantenimiento, réplicas en bases de datos y apoyo al desarrollo de software de Migración Colombia"/>
    <s v="811115-811116-811122"/>
    <s v="Servicios Basados en Ingeniería, Investigación Y Tecnología ,Servicios informaticos Ingeniería de software o hardware -Programadores de computador - Mantenimiento y soporte de software"/>
    <n v="47250000"/>
    <n v="47250000"/>
    <n v="20223"/>
    <s v="C-1199-1002-10-0-1199001-02"/>
    <s v="Celebrado"/>
    <s v="En ejecución"/>
    <m/>
    <s v="CO-061-2023"/>
    <s v="FEBRERO"/>
    <d v="2023-02-14T00:00:00"/>
    <s v="Prestación de Servicios Profesionales"/>
    <m/>
    <s v="Nivel Central"/>
    <s v="Bogotá D.C."/>
    <s v="CRISTIAN ANDREY SALINAS FORERO"/>
    <n v="1019071696"/>
    <m/>
    <m/>
    <m/>
    <m/>
    <m/>
    <m/>
    <n v="123"/>
    <n v="37023"/>
    <d v="2023-02-14T00:00:00"/>
    <n v="47250000"/>
    <m/>
    <m/>
    <m/>
    <n v="47250000"/>
    <s v="SI"/>
    <d v="2023-02-13T00:00:00"/>
    <s v="4 CUMPLIMIENTO"/>
    <d v="2023-02-14T00:00:00"/>
    <d v="2023-12-31T00:00:00"/>
    <n v="292"/>
    <s v="DIEGO EMILIO OJEDA MONCAYO"/>
    <n v="19498970"/>
    <m/>
    <m/>
    <m/>
    <m/>
    <m/>
    <m/>
    <m/>
    <m/>
    <n v="47250000"/>
    <m/>
    <m/>
    <m/>
    <m/>
    <m/>
    <m/>
    <m/>
    <m/>
    <m/>
    <n v="292"/>
    <m/>
    <m/>
  </r>
  <r>
    <s v="UNIDAD ADMINISTRATIVA ESPECIAL MIGRACIÓN COLOMBIA"/>
    <s v="900477235-12"/>
    <s v="Secop II"/>
    <n v="58"/>
    <x v="4"/>
    <s v="20232501413000019E"/>
    <s v="PCD-065-2023-14TEC"/>
    <x v="1"/>
    <x v="19"/>
    <s v="Contratación Directa"/>
    <s v="Prestación de Servicios Profesionales "/>
    <x v="10"/>
    <s v="CONTRATAR LA PRESTACIÓN DE LOS SERVICIOS PROFESIONALES PARA APOYAR LA GESTIÓN DE LA OFICINA DE TECNOLOGÍA DE LA INFORMACIÓN, EN LAS ACTIVIDADES RELACIONADAS CON LA IMPLEMENTACIÓN Y OPTIMIZACIÓN DE LA INFRAESTRUCTURA FÍSICA Y TECNOLÓGICA PARA CENTROS DE CÓMPUTO (ON-PREMISE Y EN LA NUBE) Y EN EL DISEÑO E IMPLEMENTACIÓN DE SOLUCIONES A NIVEL DE TODOS SUS SUBSISTEMAS"/>
    <s v="811115-811118-811123-801116"/>
    <s v="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
    <n v="105000000"/>
    <n v="105000000"/>
    <n v="20123"/>
    <s v="C-1199-1002-10-0-1199001-02"/>
    <s v="Celebrado"/>
    <s v="En ejecución"/>
    <m/>
    <s v="CO-060-2023"/>
    <s v="FEBRERO"/>
    <d v="2023-02-14T00:00:00"/>
    <s v="Prestación de Servicios Profesionales"/>
    <m/>
    <s v="Nivel Central"/>
    <s v="Bogotá D.C."/>
    <s v="GUSTAVO ADOLFO ECHANDÍA BAUTISTA"/>
    <n v="80413656"/>
    <m/>
    <m/>
    <m/>
    <m/>
    <m/>
    <m/>
    <n v="123"/>
    <n v="37123"/>
    <d v="2023-02-14T00:00:00"/>
    <n v="105000000"/>
    <m/>
    <m/>
    <m/>
    <n v="105000000"/>
    <s v="SI"/>
    <d v="2023-02-13T00:00:00"/>
    <s v="6 CUMPLIMIENTO"/>
    <d v="2023-02-14T00:00:00"/>
    <d v="2023-12-31T00:00:00"/>
    <n v="292"/>
    <s v="DIEGO EMILIO OJEDA MONCAYO"/>
    <n v="19498970"/>
    <m/>
    <m/>
    <m/>
    <m/>
    <m/>
    <m/>
    <m/>
    <m/>
    <n v="105000000"/>
    <m/>
    <m/>
    <m/>
    <m/>
    <m/>
    <m/>
    <m/>
    <m/>
    <m/>
    <n v="292"/>
    <m/>
    <m/>
  </r>
  <r>
    <s v="UNIDAD ADMINISTRATIVA ESPECIAL MIGRACIÓN COLOMBIA"/>
    <s v="900477235-8"/>
    <s v="Secop II"/>
    <n v="272"/>
    <x v="4"/>
    <s v="20236301413000002E"/>
    <s v="PCD-072-2023-D"/>
    <x v="1"/>
    <x v="20"/>
    <s v="Contratación Directa"/>
    <s v="Prestación de Servicios Profesionales "/>
    <x v="0"/>
    <s v="PRESTAR LOS SERVICIOS PROFESIONALES ESPECIALIZADOS PARA APOYAR A LA ENTIDAD EN LA FUNDAMENTACIÓN JURÍDICA EN LOS PROYECTOS PARA LA OPTIMIZACIÓN DE LOS SERVICIOS Y PROCESOS MIGRATORIOS A CARGO DE LA OFICINA DE TECNOLOGÍA DE LA INFORMACIÓN, Y EN LOS DEMÁS TEMAS QUE LE ASIGNE LA DIRECCIÓN GENERAL DE MIGRACIÓN COLOMBIA, DE ACUERDO CON LAS CONDICIONES SEÑALADAS Y ESPECIFICACIONES TÉCNICAS DESCRITAS EN LOS ESTUDIOS PREVIOS"/>
    <n v="80111607"/>
    <s v="Servicios de gestión, Serviciosprofesionales de empresa, y Servicios administrativos ,Servicios de recursos humanos "/>
    <n v="105000000"/>
    <n v="105000000"/>
    <n v="20923"/>
    <s v="C-1199-1002-10-0-1199001-02"/>
    <s v="Celebrado"/>
    <s v="En ejecución"/>
    <m/>
    <s v="CO-064-2023"/>
    <s v="FEBRERO"/>
    <d v="2023-02-16T00:00:00"/>
    <s v="Prestación de Servicios Profesionales"/>
    <m/>
    <s v="Nivel Central"/>
    <s v="Bogotá D.C."/>
    <s v="CAMILO ANDRÉS GARCÍA GIL"/>
    <n v="2231695"/>
    <m/>
    <m/>
    <m/>
    <m/>
    <m/>
    <m/>
    <n v="123"/>
    <n v="37623"/>
    <d v="2023-02-24T00:00:00"/>
    <n v="105000000"/>
    <m/>
    <m/>
    <m/>
    <n v="105000000"/>
    <s v="SI"/>
    <d v="2023-02-16T00:00:00"/>
    <s v="2 CUMPLIMIENTO"/>
    <d v="2023-02-15T00:00:00"/>
    <d v="2023-12-31T00:00:00"/>
    <n v="319"/>
    <s v="AVILA GONZALEZ MARIA PAULA"/>
    <n v="52619262"/>
    <m/>
    <m/>
    <m/>
    <m/>
    <m/>
    <m/>
    <m/>
    <m/>
    <n v="105000000"/>
    <m/>
    <m/>
    <m/>
    <m/>
    <m/>
    <m/>
    <m/>
    <m/>
    <m/>
    <n v="319"/>
    <m/>
    <m/>
  </r>
  <r>
    <s v="UNIDAD ADMINISTRATIVA ESPECIAL MIGRACIÓN COLOMBIA"/>
    <s v="900477235-14"/>
    <s v="Secop II"/>
    <n v="59"/>
    <x v="4"/>
    <s v="20232501413000021E"/>
    <s v="PCD-070-2023-15TEC"/>
    <x v="1"/>
    <x v="20"/>
    <s v="Contratación Directa"/>
    <s v="Prestación de Servicios Profesionales "/>
    <x v="10"/>
    <s v="CONTRATAR LA PRESTACIÓN DE SERVICIOS PROFESIONALES PARA REALIZAR LA OPTIMIZACIÓN DE LA BASE DE DATOS DEL DATA CENTER DE MIGRACIÓN COLOMBIA"/>
    <n v="811115"/>
    <s v="Servicios Basados en Ingeniería, Investigación Y Tecnología ,Servicios informaticos Ingeniería de software o hardware"/>
    <n v="105000000"/>
    <n v="105000000"/>
    <n v="20423"/>
    <s v="C-1199-1002-10-0-1199001-02"/>
    <s v="Celebrado"/>
    <s v="En ejecución"/>
    <m/>
    <s v="CO-063-2023"/>
    <s v="FEBRERO"/>
    <d v="2023-02-15T00:00:00"/>
    <s v="Prestación de Servicios Profesionales"/>
    <m/>
    <s v="Nivel Central"/>
    <s v="Bogotá D.C."/>
    <s v="DANIEL ENRIQUE BERNAL CONTRERAS"/>
    <n v="86039854"/>
    <m/>
    <m/>
    <m/>
    <m/>
    <m/>
    <m/>
    <n v="123"/>
    <n v="38123"/>
    <d v="2023-02-15T00:00:00"/>
    <n v="105000000"/>
    <m/>
    <m/>
    <m/>
    <n v="105000000"/>
    <s v="SI"/>
    <d v="2023-02-20T00:00:00"/>
    <s v="8 CUMPLIMIENTO"/>
    <d v="2023-02-15T00:00:00"/>
    <d v="2023-12-31T00:00:00"/>
    <n v="319"/>
    <s v="DIEGO EMILIO OJEDA MONCAYO"/>
    <n v="19498970"/>
    <m/>
    <m/>
    <m/>
    <m/>
    <m/>
    <m/>
    <m/>
    <m/>
    <n v="105000000"/>
    <m/>
    <m/>
    <m/>
    <m/>
    <m/>
    <m/>
    <m/>
    <m/>
    <m/>
    <n v="319"/>
    <m/>
    <m/>
  </r>
  <r>
    <s v="UNIDAD ADMINISTRATIVA ESPECIAL MIGRACIÓN COLOMBIA"/>
    <s v="900477235-6"/>
    <s v="Secop II"/>
    <n v="210"/>
    <x v="0"/>
    <s v="20236211415000001E"/>
    <s v="PCD-073-2023-92SYF"/>
    <x v="1"/>
    <x v="20"/>
    <s v="Contratación Directa"/>
    <s v="Prestación de Servicios Profesionales "/>
    <x v="3"/>
    <s v="PRESTAR LOS SERVICIOS PROFESIONALES DE UN INGENIERO ELECTRICISTA CON AUTONOMÍA TÉCNICA Y ADMINISTRATIVA PARA APOYAR LA GESTIÓN DE LA COORDINACIÓN ADMINISTRATIVA DE MIGRACIÓN COLOMBIA, EN LO REFERENTE A LA ESTRUCTURACIÓN Y DEFINICIÓN DE FICHAS TÉCNICAS Y ESTUDIOS DE MERCADO PARA LOS DIFERENTES PROYECTOS DE INFRAESTRUCTURA PROGRAMADOS EN 2023, ASÍ COMO LA SUPERVISIÓN TÉCNICA DE LOS CONTRATOS DONDE SEA ASIGNADO DE ACUERDO CON LAS CONDICIONES SEÑALADAS Y ESPECIFICACIONES TÉCNICAS DESCRITAS EN LOS DOCUMENTOS, ESTUDIOS PREVIOS Y EL CONTRATO."/>
    <s v="81101508;80161500;80161504;80121704"/>
    <s v="Ingeniería arquitectónica - Servicios de apoyo gerencial - Servicios de oficina - Servicios legales sobre contratos"/>
    <n v="63000000"/>
    <n v="63000000"/>
    <n v="21223"/>
    <s v="C-1103-1002-2-0-1103002-02"/>
    <s v="Celebrado"/>
    <s v="En ejecución"/>
    <m/>
    <s v="CO-066-2023"/>
    <s v="FEBRERO"/>
    <d v="2023-02-20T00:00:00"/>
    <s v="Prestación de Servicios Profesionales "/>
    <m/>
    <s v="Nivel Central"/>
    <s v="Bogotá D.C."/>
    <s v="JAIME LUIS PEÑA TORRES"/>
    <n v="75066578"/>
    <s v="-"/>
    <s v="INGENIERIA ELECTRICA"/>
    <s v="NO"/>
    <s v="No es mypime"/>
    <s v="N/A"/>
    <n v="26367"/>
    <e v="#REF!"/>
    <n v="39023"/>
    <m/>
    <n v="63000000"/>
    <m/>
    <m/>
    <m/>
    <n v="63000000"/>
    <s v="Si "/>
    <d v="2023-02-17T00:00:00"/>
    <s v="2 CUMPLIMIENTO"/>
    <d v="2023-02-20T00:00:00"/>
    <d v="2023-12-31T00:00:00"/>
    <n v="314"/>
    <s v="JESUS ANDRES PORRAS GARCIA"/>
    <n v="79994053"/>
    <m/>
    <m/>
    <m/>
    <m/>
    <m/>
    <m/>
    <m/>
    <m/>
    <e v="#REF!"/>
    <m/>
    <m/>
    <m/>
    <m/>
    <m/>
    <m/>
    <m/>
    <m/>
    <m/>
    <n v="314"/>
    <m/>
    <m/>
  </r>
  <r>
    <s v="UNIDAD ADMINISTRATIVA ESPECIAL MIGRACIÓN COLOMBIA"/>
    <s v="900477235-6"/>
    <s v="Secop II"/>
    <n v="63"/>
    <x v="0"/>
    <s v="20236231415000009E"/>
    <s v="PCD-069-2023-20TEC"/>
    <x v="1"/>
    <x v="21"/>
    <s v="Contratación Directa"/>
    <s v="Exclusividad"/>
    <x v="2"/>
    <s v="EXTENSIÓN DE GARANTÍA PARA LAS LECTORAS DE DOCUMENTOS Y ACTUALIZACIÓN DEL SOFTWARE DE VALIDACIÓN DE DOCUMENTOS."/>
    <s v="43211700;81112200"/>
    <s v="Dispositivos informáticos de entrada de datos - Mantenimiento y soporte de software"/>
    <n v="1038000000"/>
    <n v="1037971678"/>
    <n v="21723"/>
    <s v="C-1199-1002-10-0-1199001-02"/>
    <s v="Celebrado"/>
    <s v="En ejecución"/>
    <m/>
    <s v="CO-081-2023"/>
    <s v="Marzo"/>
    <d v="2023-03-03T00:00:00"/>
    <s v="Compraventa"/>
    <m/>
    <s v="Nivel Central"/>
    <s v="Bogotá D.C."/>
    <s v="THALES COLOMBIA S.A "/>
    <n v="830079892"/>
    <n v="4"/>
    <s v="N/A"/>
    <s v="NO"/>
    <s v="No es mypime"/>
    <s v="Sociedad Anónima"/>
    <s v="N/A"/>
    <s v="N/A"/>
    <n v="44923"/>
    <d v="2023-03-03T00:00:00"/>
    <n v="1037971678"/>
    <m/>
    <m/>
    <m/>
    <n v="1037971678"/>
    <s v="Si "/>
    <d v="2023-03-10T00:00:00"/>
    <s v="CUMPLIMIENTO, CALIDAD DEL SERVICIO, PAGO DE SALARIOS"/>
    <d v="2023-03-10T00:00:00"/>
    <d v="2023-06-10T00:00:00"/>
    <n v="92"/>
    <s v="DIEGO EMILIO OJEDA MONCAYO"/>
    <n v="19498970"/>
    <m/>
    <m/>
    <m/>
    <m/>
    <m/>
    <m/>
    <m/>
    <m/>
    <e v="#REF!"/>
    <m/>
    <m/>
    <m/>
    <m/>
    <m/>
    <m/>
    <m/>
    <m/>
    <m/>
    <n v="92"/>
    <m/>
    <m/>
  </r>
  <r>
    <s v="UNIDAD ADMINISTRATIVA ESPECIAL MIGRACIÓN COLOMBIA"/>
    <s v="900477235-6"/>
    <s v="Secop II"/>
    <n v="238"/>
    <x v="0"/>
    <s v="20234021413000003E"/>
    <s v="PCD-064-2023-5E"/>
    <x v="1"/>
    <x v="21"/>
    <s v="Contratación Directa"/>
    <s v="Prestación de Servicios Profesionales "/>
    <x v="17"/>
    <s v="PRESTAR LOS SERVICIOS PROFESIONALES EN LA SUBDIRECCIÓN DE EXTRANJERÍA CON AUTONOMÍA TÉCNICA Y ADMINISTRATIVA, DE ACUERDO CON LAS CONDICIONES SEÑALADAS Y ESPECIFICACIONES TÉCNICAS DESCRITAS EN LOS ESTUDIOS PREVIOS"/>
    <s v="43232300;81111800;81112000;81112200;"/>
    <s v="Software de consultas y gestión de datos - Servicios de sistemas y administración de componentes de sistemas - Servicios de datos - Mantenimiento y soporte de software"/>
    <n v="90000000"/>
    <n v="90000000"/>
    <n v="19823"/>
    <s v="C-1199-1002-10-0-1199001-02"/>
    <s v="Celebrado"/>
    <s v="En ejecución"/>
    <m/>
    <s v="CO-067-2023"/>
    <s v="FEBRERO"/>
    <d v="2023-02-20T00:00:00"/>
    <s v="Prestación de Servicios Profesionales "/>
    <m/>
    <s v="Nivel Central"/>
    <s v="Bogotá D.C."/>
    <s v="LEONOR PATRICIA JIMENEZ SANTANA"/>
    <n v="51967613"/>
    <s v="-"/>
    <s v="INGENIERIA DE SISTEMAS"/>
    <s v="NO"/>
    <s v="No es mypime"/>
    <s v="N/A"/>
    <n v="25348"/>
    <e v="#REF!"/>
    <n v="40123"/>
    <d v="2023-02-20T00:00:00"/>
    <n v="90000000"/>
    <m/>
    <m/>
    <m/>
    <n v="90000000"/>
    <s v="Si "/>
    <d v="2023-02-20T00:00:00"/>
    <s v="2 CUMPLIMIENTO"/>
    <d v="2023-02-20T00:00:00"/>
    <d v="2023-12-20T00:00:00"/>
    <n v="303"/>
    <s v="MARGARITA MARIA BAUTISTA MARTINEZ"/>
    <n v="1010181437"/>
    <m/>
    <m/>
    <m/>
    <m/>
    <m/>
    <m/>
    <m/>
    <m/>
    <e v="#REF!"/>
    <m/>
    <m/>
    <m/>
    <m/>
    <m/>
    <m/>
    <m/>
    <m/>
    <m/>
    <n v="303"/>
    <m/>
    <m/>
  </r>
  <r>
    <s v="UNIDAD ADMINISTRATIVA ESPECIAL MIGRACIÓN COLOMBIA"/>
    <s v="900477235-6"/>
    <s v="TVEC"/>
    <n v="97"/>
    <x v="1"/>
    <s v="20232501410000001E"/>
    <n v="144547"/>
    <x v="1"/>
    <x v="22"/>
    <s v="Selección Abreviada"/>
    <s v="Acuerdo Marco de Precios"/>
    <x v="10"/>
    <s v="Suscripción y horas de servicio de productos GOOGLE para la entidad."/>
    <n v="81112100"/>
    <s v="Servicios Basados en Ingeniería, Investigación y Tecnología"/>
    <n v="2200000"/>
    <n v="2200000"/>
    <n v="22523"/>
    <s v="C-1199-1002-10-0-1199001-02"/>
    <s v="Celebrado"/>
    <m/>
    <m/>
    <m/>
    <m/>
    <m/>
    <m/>
    <m/>
    <m/>
    <m/>
    <m/>
    <m/>
    <m/>
    <m/>
    <m/>
    <m/>
    <m/>
    <m/>
    <m/>
    <m/>
    <m/>
    <m/>
    <m/>
    <m/>
    <m/>
    <m/>
    <m/>
    <m/>
    <m/>
    <m/>
    <m/>
    <n v="0"/>
    <m/>
    <m/>
    <m/>
    <m/>
    <m/>
    <m/>
    <m/>
    <m/>
    <m/>
    <m/>
    <m/>
    <m/>
    <m/>
    <m/>
    <m/>
    <m/>
    <m/>
    <m/>
    <m/>
    <m/>
    <m/>
    <m/>
    <m/>
  </r>
  <r>
    <s v="UNIDAD ADMINISTRATIVA ESPECIAL MIGRACIÓN COLOMBIA"/>
    <s v="900477235-15"/>
    <s v="Secop II"/>
    <n v="66"/>
    <x v="4"/>
    <s v="20232501413000020E"/>
    <s v="PCD-077-2023-23TEC"/>
    <x v="1"/>
    <x v="23"/>
    <s v="Contratación Directa"/>
    <s v="Prestación de Servicios Profesionales "/>
    <x v="10"/>
    <s v="CONTRATAR LA PRESTACIÓN DE SERVICIOS PROFESIONALES PARA REALIZAR LA ADMINISTRACIÓN DE BASES DE DATOS DE MIGRACIÓN COLOMBIA"/>
    <s v="811115-811116-811122"/>
    <s v="Servicios Basados en Ingeniería, Investigación Y Tecnología ,Servicios informaticos Ingeniería de software o hardware -Programadores de computador - Mantenimiento y soporte de software"/>
    <n v="105000000"/>
    <n v="105000000"/>
    <n v="20323"/>
    <s v="C-1199-1002-10-0-1199001-02"/>
    <s v="Celebrado"/>
    <s v="En ejecución"/>
    <m/>
    <s v="CO-069-2023"/>
    <s v="FEBRERO"/>
    <d v="2023-02-20T00:00:00"/>
    <s v="Prestación de Servicios Profesionales"/>
    <m/>
    <s v="Nivel Central"/>
    <s v="Bogotá D.C."/>
    <s v="LUIS ALEXANDER JIMENEZ ALVARADO"/>
    <n v="79694066"/>
    <m/>
    <m/>
    <m/>
    <m/>
    <m/>
    <m/>
    <n v="123"/>
    <n v="40323"/>
    <d v="2023-02-20T00:00:00"/>
    <n v="105000000"/>
    <m/>
    <m/>
    <m/>
    <n v="105000000"/>
    <s v="SI"/>
    <d v="2023-02-28T00:00:00"/>
    <s v="9 CUMPLIMIENTO"/>
    <d v="2023-02-20T00:00:00"/>
    <d v="2023-12-31T00:00:00"/>
    <n v="314"/>
    <s v="DIEGO EMILIO OJEDA MONCAYO"/>
    <n v="19498970"/>
    <m/>
    <m/>
    <m/>
    <m/>
    <m/>
    <m/>
    <m/>
    <m/>
    <n v="105000000"/>
    <m/>
    <m/>
    <m/>
    <m/>
    <m/>
    <m/>
    <m/>
    <m/>
    <m/>
    <n v="314"/>
    <m/>
    <m/>
  </r>
  <r>
    <s v="UNIDAD ADMINISTRATIVA ESPECIAL MIGRACIÓN COLOMBIA"/>
    <s v="900477235-6"/>
    <s v="Secop II"/>
    <n v="277"/>
    <x v="3"/>
    <s v="20236231408000003E"/>
    <s v="SAMC-001-2023-SYF"/>
    <x v="1"/>
    <x v="24"/>
    <s v="Selección Abreviada"/>
    <s v="Menor Cuantia"/>
    <x v="3"/>
    <s v="CONTRATAR A TODO COSTO, INCLUYENDO MATERIALES Y MANO DE OBRA, LA IMPLEMENTACIÓN DE POLOS APÍCOLAS Y OBRAS COMPLEMENTARIAS EN CUMPLIMIENTO DE LAS MEDIDAS DE COMPENSACIÓN IMPUESTAS POR CORPORINOQUIA POR LA AUTORIZACIÓN DE PERMISOS DE CONCESIÓN Y VERTIMIENTOS."/>
    <s v="21102401;70111501;70121610;70161701;77101604;77101700;77111501"/>
    <s v="Equipo para apicultura - Servicios de siembra de árboles, arbustos o plantas ornamentales - Apicultura - Servicios de ecodesarrollo - Servicios de planificación de la estrategia de gestión o conservación de recursos naturales - Servicios de asesoría ambiental - Servicios de protección del paisaje"/>
    <n v="125000000"/>
    <n v="120963500"/>
    <n v="14823"/>
    <s v="C-1103-1002-2-0-1103001-02"/>
    <s v="En trámite"/>
    <s v="N/A"/>
    <m/>
    <m/>
    <m/>
    <m/>
    <m/>
    <m/>
    <m/>
    <m/>
    <m/>
    <m/>
    <m/>
    <m/>
    <m/>
    <m/>
    <m/>
    <m/>
    <e v="#REF!"/>
    <m/>
    <m/>
    <m/>
    <m/>
    <m/>
    <m/>
    <m/>
    <m/>
    <m/>
    <m/>
    <m/>
    <m/>
    <n v="0"/>
    <m/>
    <m/>
    <m/>
    <m/>
    <m/>
    <m/>
    <m/>
    <m/>
    <m/>
    <m/>
    <e v="#REF!"/>
    <m/>
    <m/>
    <m/>
    <m/>
    <m/>
    <m/>
    <m/>
    <m/>
    <m/>
    <n v="0"/>
    <m/>
    <m/>
  </r>
  <r>
    <s v="UNIDAD ADMINISTRATIVA ESPECIAL MIGRACIÓN COLOMBIA"/>
    <s v="900477235-6"/>
    <s v="Secop II"/>
    <n v="27"/>
    <x v="0"/>
    <s v="20232261415000001E"/>
    <s v="PCD-074-2023-9J"/>
    <x v="1"/>
    <x v="25"/>
    <s v="Contratación Directa"/>
    <s v="Exclusividad"/>
    <x v="11"/>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s v="55111515;82121802"/>
    <s v="Audio cinta de material educacional - Servicios de publicaciones financiadas por el autor"/>
    <n v="36890000"/>
    <n v="36890000"/>
    <n v="22123"/>
    <s v="A-02-02-02-008-004"/>
    <s v="Celebrado"/>
    <s v="En ejecución"/>
    <m/>
    <s v="CO-084-2023"/>
    <s v="Marzo"/>
    <d v="2023-03-09T00:00:00"/>
    <s v="Suscripción"/>
    <m/>
    <s v="Nivel Central"/>
    <s v="Bogotá D.C."/>
    <s v="AVANCE JURIDICO CASA EDITORIAL LTDA "/>
    <n v="830041326"/>
    <n v="2"/>
    <s v="N/A"/>
    <s v="SI"/>
    <s v="Pequeña"/>
    <s v="Sociedad de Responsabilidad Limitada"/>
    <s v="N/A"/>
    <s v="N/A"/>
    <n v="53123"/>
    <d v="2023-03-10T00:00:00"/>
    <n v="36890000"/>
    <m/>
    <m/>
    <m/>
    <n v="36890000"/>
    <s v="NO"/>
    <s v="N/A"/>
    <s v="N/A"/>
    <d v="2023-03-10T00:00:00"/>
    <d v="2023-10-10T00:00:00"/>
    <n v="214"/>
    <s v="CARLOS JULIO AVILA CORONEL"/>
    <n v="79279880"/>
    <m/>
    <m/>
    <m/>
    <m/>
    <m/>
    <m/>
    <m/>
    <m/>
    <e v="#REF!"/>
    <m/>
    <m/>
    <m/>
    <m/>
    <m/>
    <m/>
    <m/>
    <m/>
    <m/>
    <n v="214"/>
    <m/>
    <m/>
  </r>
  <r>
    <s v="UNIDAD ADMINISTRATIVA ESPECIAL MIGRACIÓN COLOMBIA"/>
    <s v="900477235-9"/>
    <s v="Secop II"/>
    <n v="60"/>
    <x v="4"/>
    <s v="20232501413000022E"/>
    <s v="PCD-076-2023-16TEC"/>
    <x v="1"/>
    <x v="26"/>
    <s v="Contratación Directa"/>
    <s v="Prestación de Servicios Profesionales "/>
    <x v="10"/>
    <s v="CONTRATAR LA PRESTACIÓN DE LOS SERVICIOS PROFESIONALES PARA APOYAR LA GESTIÓN DE LA OFICINA DE TECNOLOGÍA DE LA INFORMACIÓN DE MIGRACIÓN COLOMBIA, EN LAS ACTIVIDADES RELACIONADAS CON LA ADMINISTRACIÓN DE SISTEMAS OPERATIVOS LINUX, VIRTUALIZACION Y BASE DE DATOS"/>
    <s v="80111600 - 81111500 - 81111800"/>
    <s v="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
    <n v="105000000"/>
    <n v="105000000"/>
    <n v="22323"/>
    <s v="C-1199-1002-10-0-1199001-02"/>
    <s v="Celebrado"/>
    <s v="En ejecución"/>
    <m/>
    <s v="CO-068-2023"/>
    <s v="FEBRERO"/>
    <d v="2023-02-22T00:00:00"/>
    <s v="Prestación de Servicios Profesionales"/>
    <m/>
    <s v="Nivel Central"/>
    <s v="Bogotá D.C."/>
    <s v="DARÍO ORLANDO BECERRA ERAZO"/>
    <n v="94460645"/>
    <m/>
    <m/>
    <m/>
    <m/>
    <m/>
    <m/>
    <n v="123"/>
    <n v="41923"/>
    <d v="2023-02-15T00:00:00"/>
    <n v="105000000"/>
    <m/>
    <m/>
    <m/>
    <n v="105000000"/>
    <s v="SI"/>
    <d v="2023-02-25T00:00:00"/>
    <s v="3 CUMPLIMIENTO"/>
    <d v="2023-02-22T00:00:00"/>
    <d v="2023-12-31T00:00:00"/>
    <n v="312"/>
    <s v="DIEGO EMILIO OJEDA MONCAYO"/>
    <n v="19498970"/>
    <m/>
    <m/>
    <m/>
    <m/>
    <m/>
    <m/>
    <m/>
    <m/>
    <n v="105000000"/>
    <m/>
    <m/>
    <m/>
    <m/>
    <m/>
    <m/>
    <m/>
    <m/>
    <m/>
    <n v="312"/>
    <m/>
    <m/>
  </r>
  <r>
    <s v="UNIDAD ADMINISTRATIVA ESPECIAL MIGRACIÓN COLOMBIA"/>
    <s v="900477235-11"/>
    <s v="Secop II"/>
    <n v="65"/>
    <x v="4"/>
    <s v="20232501413000017E"/>
    <s v="PCD-075-2023-22TEC"/>
    <x v="1"/>
    <x v="26"/>
    <s v="Contratación Directa"/>
    <s v="Prestación de Servicios Profesionales "/>
    <x v="10"/>
    <s v="CONTRATAR LA PRESTACIÓN DE LOS SERVICIOS PROFESIONALES PARA EL SOPORTE AL SITIO WEB DE LA UNIDAD ADMINISTRATIVA ESPECIAL MIGRACIÓN COLOMBIA DE CONFORMIDAD CON LAS ESPECIFICACIONES TÉCNICAS"/>
    <s v="80111614 - 81111500 - 81111800"/>
    <s v="Servicios de Gestión, Servicios Profesionales de  Empresa y Servicios Administrativos . Servicios de recursos humanos .servicios  de personal temporal ,servicios Temporales de de ingenieria - Servicios basados en Ingeniería Investigación y Tecnología, Servicios Informáticos , Ingeniería de Software o Hardware - Servicios de sistemas y administracion de componentes de sistemas "/>
    <n v="80000000"/>
    <n v="80000000"/>
    <n v="20023"/>
    <s v="C-1199-1002-10-0-1199001-02"/>
    <s v="Celebrado"/>
    <s v="En ejecución"/>
    <m/>
    <s v="CO-071-2023"/>
    <s v="FEBRERO"/>
    <d v="2023-02-22T00:00:00"/>
    <s v="Prestación de Servicios Profesionales"/>
    <m/>
    <s v="Nivel Central"/>
    <s v="Bogotá D.C."/>
    <s v="JONNATHAN DAVID TRIANA BOTIA"/>
    <n v="1014211359"/>
    <m/>
    <m/>
    <m/>
    <m/>
    <m/>
    <m/>
    <n v="123"/>
    <n v="41523"/>
    <d v="2023-02-23T00:00:00"/>
    <n v="80000000"/>
    <m/>
    <m/>
    <m/>
    <n v="80000000"/>
    <s v="SI"/>
    <d v="2023-02-23T00:00:00"/>
    <s v="5 CUMPLIMIENTO"/>
    <d v="2023-02-22T00:00:00"/>
    <d v="2023-12-31T00:00:00"/>
    <n v="312"/>
    <s v="DIEGO EMILIO OJEDA MONCAYO"/>
    <n v="19498970"/>
    <m/>
    <m/>
    <m/>
    <m/>
    <m/>
    <m/>
    <m/>
    <m/>
    <n v="80000000"/>
    <m/>
    <m/>
    <m/>
    <m/>
    <m/>
    <m/>
    <m/>
    <m/>
    <m/>
    <n v="312"/>
    <m/>
    <m/>
  </r>
  <r>
    <s v="UNIDAD ADMINISTRATIVA ESPECIAL MIGRACIÓN COLOMBIA"/>
    <s v="900477235-13"/>
    <s v="Secop II"/>
    <n v="68"/>
    <x v="4"/>
    <s v="20232501413000023E"/>
    <s v="PCD-078-2023-25TEC"/>
    <x v="1"/>
    <x v="26"/>
    <s v="Contratación Directa"/>
    <s v="Prestación de Servicios Profesionales "/>
    <x v="10"/>
    <s v="CONTRATAR LA PRESTACIÓN DE LOS SERVICIOS PROFESIONALES PARA APOYAR LA GESTIÓN DE LA OFICINA DE TECNOLOGÍA DE LA INFORMACIÓN DE MIGRACIÓN COLOMBIA, EN LAS ACTIVIDADES PROPIAS DEL DESARROLLO DE APLICACIONES EN LENGUAJE .NET"/>
    <s v="80111600-811115-811120"/>
    <s v="Servicios de Gestión Servicios Profesional es de Empresa y Servicios Administrativos ,Servicios de recursos humanos ,Servicios de personal temporal - Servicios informaticos Ingeniería de software o hardware - Servicios de datos"/>
    <n v="84000000"/>
    <n v="84000000"/>
    <n v="22623"/>
    <s v="C-1199-1002-10-0-1199001-02"/>
    <s v="Celebrado"/>
    <s v="En ejecución"/>
    <m/>
    <s v="CO-072-2023"/>
    <s v="FEBRERO"/>
    <d v="2023-02-22T00:00:00"/>
    <s v="Prestación de Servicios Profesionales"/>
    <m/>
    <s v="Nivel Central"/>
    <s v="Bogotá D.C."/>
    <s v="DIEGO ESTEBAN PAREDES BURBANO"/>
    <n v="1085298706"/>
    <m/>
    <m/>
    <m/>
    <m/>
    <m/>
    <m/>
    <n v="123"/>
    <n v="41623"/>
    <d v="2023-02-23T00:00:00"/>
    <n v="84000000"/>
    <m/>
    <m/>
    <m/>
    <n v="84000000"/>
    <s v="SI"/>
    <d v="2023-02-24T00:00:00"/>
    <s v="7 CUMPLIMIENTO"/>
    <d v="2023-02-22T00:00:00"/>
    <d v="2023-12-31T00:00:00"/>
    <n v="312"/>
    <s v="DIEGO EMILIO OJEDA MONCAYO"/>
    <n v="19498970"/>
    <m/>
    <m/>
    <m/>
    <m/>
    <m/>
    <m/>
    <m/>
    <m/>
    <n v="84000000"/>
    <m/>
    <m/>
    <m/>
    <m/>
    <m/>
    <m/>
    <m/>
    <m/>
    <m/>
    <n v="312"/>
    <m/>
    <m/>
  </r>
  <r>
    <s v="UNIDAD ADMINISTRATIVA ESPECIAL MIGRACIÓN COLOMBIA"/>
    <s v="900477235-6"/>
    <s v="Secop II"/>
    <n v="235"/>
    <x v="0"/>
    <s v="20236231413000002E"/>
    <s v="PCD-080-2023-2E"/>
    <x v="1"/>
    <x v="26"/>
    <s v="Contratación Directa"/>
    <s v="Prestación de Servicios Profesionales "/>
    <x v="17"/>
    <s v="CONTRATAR LA PRESTACIÓN DE SERVICIOS PROFESIONALES ESPECIALIZADOS PARA LA VALIDACIÓN O AUTENTICACIÓN DE IDENTIDAD, RELACIONADA CON USUARIOS QUE REQUIEREN CERTIFICADOS DE MOVIMIENTOS MIGRATORIOS."/>
    <s v="43232300;81111800;81112000;81112200"/>
    <s v="Software de consultas y gestión de datos - Servicios de sistemas y administración de componentes de sistemas - Servicios de datos - Mantenimiento y soporte de software"/>
    <n v="34410000"/>
    <n v="34410000"/>
    <n v="21123"/>
    <s v="A-02-02-02-008-003"/>
    <s v="Celebrado"/>
    <s v="En ejecución"/>
    <m/>
    <s v="CO-074-2023"/>
    <s v="Marzo"/>
    <d v="2023-03-17T00:00:00"/>
    <s v="Prestación de Servicios Profesionales "/>
    <m/>
    <s v="Nivel Central"/>
    <s v="Bogotá D.C."/>
    <s v="EXPERIAN COLOMBIA S.A."/>
    <n v="900422614"/>
    <n v="8"/>
    <s v="N/A"/>
    <s v="NO"/>
    <s v="No es mypime"/>
    <s v="Sociedad Anónima"/>
    <s v="N/A"/>
    <s v="N/A"/>
    <n v="59323"/>
    <d v="2023-03-22T00:00:00"/>
    <n v="34410000"/>
    <m/>
    <m/>
    <m/>
    <n v="34410000"/>
    <s v="NO"/>
    <s v="N/A"/>
    <s v="N/A"/>
    <d v="2023-03-22T00:00:00"/>
    <d v="2023-12-31T00:00:00"/>
    <n v="284"/>
    <s v="HENRY ALBERTO PEREIRA VERA"/>
    <n v="88237021"/>
    <m/>
    <m/>
    <m/>
    <m/>
    <m/>
    <m/>
    <m/>
    <m/>
    <e v="#REF!"/>
    <m/>
    <m/>
    <m/>
    <m/>
    <m/>
    <m/>
    <m/>
    <m/>
    <m/>
    <n v="284"/>
    <m/>
    <m/>
  </r>
  <r>
    <s v="UNIDAD ADMINISTRATIVA ESPECIAL MIGRACIÓN COLOMBIA"/>
    <s v="900477235-6"/>
    <s v="Secop II"/>
    <n v="120"/>
    <x v="1"/>
    <s v="20236231415000002E"/>
    <s v="PCD-079-2023-30TEC"/>
    <x v="1"/>
    <x v="27"/>
    <s v="Contratación Directa"/>
    <s v="Exclusividad"/>
    <x v="10"/>
    <s v="Contratar la actualización de las licencias para los sistemas KACTUS y SEVEN y servicio de soporte técnico especializado presencial, de conformidad con las especificaciones de la Unidad Administrativa"/>
    <n v="40141700"/>
    <s v="Componentes y Equipos para Distribución y Sistemas de Acondicionamiento "/>
    <n v="614700000"/>
    <n v="429942610"/>
    <n v="22823"/>
    <s v="C-1199-1002-10-0-1199001-02"/>
    <s v="Celebrado"/>
    <s v="En ejecución"/>
    <m/>
    <s v="CO-098-2023"/>
    <s v="Marzo"/>
    <d v="2023-03-24T00:00:00"/>
    <s v="Contrato Compraventa"/>
    <m/>
    <s v="Nivel Central"/>
    <s v="Bogotá D.C."/>
    <s v="DIGITAL WARE S.A.S"/>
    <n v="830042244"/>
    <n v="1"/>
    <m/>
    <m/>
    <m/>
    <m/>
    <m/>
    <m/>
    <n v="61623"/>
    <d v="2023-03-27T00:00:00"/>
    <n v="429942199.07999998"/>
    <m/>
    <m/>
    <m/>
    <n v="429942199.07999998"/>
    <s v="Si "/>
    <d v="2023-03-24T00:00:00"/>
    <s v="2 CUMPLIMIENTO"/>
    <d v="2023-03-29T00:00:00"/>
    <d v="2023-12-31T00:00:00"/>
    <n v="277"/>
    <s v="DIEGO EMILIO OJEDA MONCAYO"/>
    <n v="19498970"/>
    <m/>
    <m/>
    <m/>
    <m/>
    <m/>
    <m/>
    <m/>
    <m/>
    <m/>
    <m/>
    <m/>
    <m/>
    <m/>
    <m/>
    <m/>
    <m/>
    <m/>
    <m/>
    <m/>
    <m/>
    <m/>
  </r>
  <r>
    <s v="UNIDAD ADMINISTRATIVA ESPECIAL MIGRACIÓN COLOMBIA"/>
    <s v="900477235-6"/>
    <s v="Secop II"/>
    <n v="10"/>
    <x v="2"/>
    <s v="20232121413000011E"/>
    <s v="PCD-083-2023-4D"/>
    <x v="1"/>
    <x v="27"/>
    <s v="Contratación Directa"/>
    <s v="Prestación de Servicios Profesionales "/>
    <x v="1"/>
    <s v="PRESTACIÓN DE SERVICIOS PROFESIONALES CON AUTONOMÍA TÉCNICA Y ADMINISTRATIVA A LA OFICINA ASESORA DE PLANEACIÓN EN ASUNTOS DE EXTRACCIÓN Y CONSOLIDACIÓN DE INFORMACIÓN CUANTITATIVA Y CUALITATIVA."/>
    <n v="80161500"/>
    <s v=" Servicios de apoyo gerencial"/>
    <n v="36750000"/>
    <n v="36750000"/>
    <n v="22223"/>
    <s v="C-1199-1002-11-0-1199054-02"/>
    <s v="Celebrado"/>
    <s v="En ejecución"/>
    <m/>
    <s v="CO-083-2023"/>
    <s v="Marzo"/>
    <d v="2023-03-02T00:00:00"/>
    <s v="Prestación de Servicios Profesionales"/>
    <m/>
    <s v="Nivel Central"/>
    <s v="Bogotá D.C."/>
    <s v="BENKOS TRIANA OCAMPO"/>
    <n v="1020831517"/>
    <m/>
    <s v="ECONOMISTA "/>
    <s v="NO"/>
    <m/>
    <m/>
    <n v="35883"/>
    <n v="25"/>
    <n v="43223"/>
    <d v="2023-02-28T00:00:00"/>
    <n v="36750000"/>
    <m/>
    <m/>
    <m/>
    <n v="36750000"/>
    <s v="SI"/>
    <d v="2023-02-27T00:00:00"/>
    <s v="2 CUMPLIMIENTO"/>
    <d v="2023-02-28T00:00:00"/>
    <d v="2023-12-31T00:00:00"/>
    <n v="306"/>
    <s v="JORGE ENRIQUE GARCIA LONDOÑO"/>
    <n v="79276876"/>
    <m/>
    <m/>
    <m/>
    <m/>
    <m/>
    <m/>
    <m/>
    <m/>
    <n v="36750000"/>
    <m/>
    <m/>
    <m/>
    <m/>
    <m/>
    <m/>
    <m/>
    <m/>
    <m/>
    <n v="306"/>
    <m/>
    <m/>
  </r>
  <r>
    <s v="UNIDAD ADMINISTRATIVA ESPECIAL MIGRACIÓN COLOMBIA"/>
    <s v="900477235-6"/>
    <s v="Secop II"/>
    <n v="154"/>
    <x v="2"/>
    <s v="20236231414000005E"/>
    <s v="PCD-084-2023-36SYF"/>
    <x v="1"/>
    <x v="27"/>
    <s v="Contratación Directa"/>
    <s v="Prestación de Servicios Profesionales "/>
    <x v="23"/>
    <s v="Contratar el arrendamiento de un área dentro del predio ubicado en la calle 22 n # 8n - 47 de la ciudad de Cúcuta para el funcionamiento del Centro Facilitador de Servicios Migratorios de la UAEMC"/>
    <n v="80131502"/>
    <s v="Arrendamiento de instalaciones comerciales o industriales"/>
    <n v="88000000"/>
    <n v="88000000"/>
    <n v="25423"/>
    <s v="A-02-02-02-007-002"/>
    <s v="Celebrado"/>
    <s v="En ejecución"/>
    <m/>
    <s v="CO-082-2023"/>
    <s v="Marzo"/>
    <d v="2023-03-02T00:00:00"/>
    <s v="Arrendamiento"/>
    <m/>
    <s v="Nivel Central"/>
    <s v="Bogotá D.C."/>
    <s v="CEDAC CUCUTA LTDA"/>
    <n v="890505046"/>
    <m/>
    <s v="N/A"/>
    <s v="NO"/>
    <m/>
    <m/>
    <m/>
    <n v="123"/>
    <s v="44223 "/>
    <d v="2023-03-01T00:00:00"/>
    <n v="88000000"/>
    <m/>
    <m/>
    <m/>
    <n v="88000000"/>
    <s v="NO"/>
    <s v="N/A"/>
    <s v="N/A"/>
    <d v="2023-02-28T00:00:00"/>
    <d v="2023-12-31T00:00:00"/>
    <n v="306"/>
    <s v="Sergio Andres Blanco "/>
    <n v="88264550"/>
    <m/>
    <m/>
    <m/>
    <m/>
    <m/>
    <m/>
    <m/>
    <m/>
    <n v="88000000"/>
    <m/>
    <m/>
    <m/>
    <m/>
    <m/>
    <m/>
    <m/>
    <m/>
    <m/>
    <n v="306"/>
    <m/>
    <m/>
  </r>
  <r>
    <s v="UNIDAD ADMINISTRATIVA ESPECIAL MIGRACIÓN COLOMBIA"/>
    <s v="900477235-6"/>
    <s v="Secop II"/>
    <n v="62"/>
    <x v="0"/>
    <s v="20232541413000001E"/>
    <s v="PCD-082-2023-18TEC"/>
    <x v="1"/>
    <x v="27"/>
    <s v="Contratación Directa"/>
    <s v="Prestación de Servicios Profesionales "/>
    <x v="2"/>
    <s v="CONTRATAR EL MANTENIMIENTO E IMPLEMENTACIÓN DE MEJORAS SEGÚN NECESIDADES MISIONALES DE MIGRACIÓN COLOMBIA PARA LA APLICACIÓN LIBERTAPP"/>
    <s v="43232612;81112209."/>
    <s v=" Software de fabricación asistida por computador cam - Mantenimiento de software de desarrollo"/>
    <n v="17100000"/>
    <n v="17100000"/>
    <n v="20623"/>
    <s v="C-1199-1002-10-0-1199001-02"/>
    <s v="Celebrado"/>
    <s v="En ejecución"/>
    <m/>
    <s v="CO-075-2023"/>
    <s v="Marzo"/>
    <d v="2023-03-01T00:00:00"/>
    <s v="Prestación de Servicios Profesionales"/>
    <m/>
    <s v="Nivel Central"/>
    <s v="Bogotá D.C."/>
    <s v="CANNED HEAD SAS"/>
    <n v="900877941"/>
    <n v="4"/>
    <s v="N/A"/>
    <s v="NO"/>
    <s v="No es mypime"/>
    <s v="Sociedad por acciones simplificadas"/>
    <s v="N/A"/>
    <s v="N/A"/>
    <n v="45823"/>
    <d v="2023-03-06T00:00:00"/>
    <n v="17062287"/>
    <m/>
    <m/>
    <m/>
    <n v="17062287"/>
    <s v="Si "/>
    <d v="2023-03-03T00:00:00"/>
    <s v="2 CUMPLIMIENTO"/>
    <d v="2023-03-06T00:00:00"/>
    <d v="2023-12-31T00:00:00"/>
    <n v="300"/>
    <s v="DIEGO EMILIO OJEDA MONCAYO"/>
    <n v="19498970"/>
    <m/>
    <m/>
    <m/>
    <m/>
    <m/>
    <m/>
    <m/>
    <m/>
    <e v="#REF!"/>
    <m/>
    <m/>
    <m/>
    <m/>
    <m/>
    <m/>
    <m/>
    <m/>
    <m/>
    <n v="300"/>
    <m/>
    <m/>
  </r>
  <r>
    <s v="UNIDAD ADMINISTRATIVA ESPECIAL MIGRACIÓN COLOMBIA"/>
    <s v="900477235-6"/>
    <s v="Secop II"/>
    <n v="199"/>
    <x v="0"/>
    <s v="20236231420000001E"/>
    <s v="MC-002-2023-81SYF"/>
    <x v="1"/>
    <x v="27"/>
    <s v="Mínima cuantía"/>
    <s v="Prestación de Servicios Profesionales "/>
    <x v="3"/>
    <s v="CONTRATAR LA PRESTACIÓN DEL SERVICIO DE LAVADO DEL PARQUE AUTOMOTOR DE MIGRACIÓN COLOMBIA EN LA CIUDAD DE BOGOTÁ D.C."/>
    <n v="76111801"/>
    <s v="Limpieza de carros o barcos"/>
    <n v="16325000"/>
    <n v="16325000"/>
    <n v="20823"/>
    <s v="A-02-02-02-008-007"/>
    <s v="Celebrado"/>
    <s v="En ejecución"/>
    <m/>
    <s v="AO-004-2023"/>
    <s v="Marzo"/>
    <d v="2023-03-22T00:00:00"/>
    <s v="Prestación de Servicios Profesionales"/>
    <m/>
    <s v="Nivel Central"/>
    <s v="Bogotá D.C."/>
    <s v="CENTRO CAR 19 LTDA"/>
    <n v="800250589"/>
    <n v="1"/>
    <s v="N/A"/>
    <s v="SI"/>
    <s v="Pequeña"/>
    <s v="Sociedad de Responsabilidad Limitada"/>
    <s v="N/A"/>
    <s v="N/A"/>
    <n v="59623"/>
    <d v="2023-03-23T00:00:00"/>
    <n v="16325000"/>
    <m/>
    <m/>
    <m/>
    <n v="16325000"/>
    <s v="Si "/>
    <m/>
    <m/>
    <m/>
    <m/>
    <m/>
    <m/>
    <m/>
    <m/>
    <m/>
    <m/>
    <m/>
    <m/>
    <m/>
    <m/>
    <m/>
    <e v="#REF!"/>
    <m/>
    <m/>
    <m/>
    <m/>
    <m/>
    <m/>
    <m/>
    <m/>
    <m/>
    <n v="0"/>
    <m/>
    <s v="NO HAN ENVIADO PÓLIZAS"/>
  </r>
  <r>
    <s v="UNIDAD ADMINISTRATIVA ESPECIAL MIGRACIÓN COLOMBIA"/>
    <s v="900477235-6"/>
    <s v="Secop II"/>
    <n v="189"/>
    <x v="1"/>
    <s v="20236231408000006E"/>
    <s v="SIE-002-2023"/>
    <x v="1"/>
    <x v="28"/>
    <s v="Selección Abreviada"/>
    <s v="Subasta Inversa Electrónica"/>
    <x v="18"/>
    <s v="Contratar la prestación del servicio de mantenimiento preventivo y correctivo de aires acondicionados a nivel nacional"/>
    <n v="40101700"/>
    <s v="Componentes y equipos para distribución y sistemas de acondicionamiento"/>
    <n v="120000000"/>
    <n v="120000000"/>
    <n v="21423"/>
    <s v="A-02-02-02-008-007"/>
    <s v="En tramite "/>
    <m/>
    <m/>
    <m/>
    <m/>
    <m/>
    <m/>
    <m/>
    <m/>
    <m/>
    <m/>
    <m/>
    <m/>
    <m/>
    <m/>
    <m/>
    <m/>
    <m/>
    <m/>
    <m/>
    <m/>
    <m/>
    <m/>
    <m/>
    <m/>
    <m/>
    <m/>
    <m/>
    <m/>
    <m/>
    <m/>
    <n v="0"/>
    <m/>
    <m/>
    <m/>
    <m/>
    <m/>
    <m/>
    <m/>
    <m/>
    <m/>
    <m/>
    <m/>
    <m/>
    <m/>
    <m/>
    <m/>
    <m/>
    <m/>
    <m/>
    <m/>
    <m/>
    <m/>
    <m/>
    <m/>
  </r>
  <r>
    <s v="UNIDAD ADMINISTRATIVA ESPECIAL MIGRACIÓN COLOMBIA"/>
    <s v="900477235-6"/>
    <s v="Secop II"/>
    <n v="280"/>
    <x v="2"/>
    <s v="20236231407000008E"/>
    <s v="MC-003-2023"/>
    <x v="1"/>
    <x v="28"/>
    <s v="Mínima cuantía"/>
    <s v="Prestación de Servicios Profesionales "/>
    <x v="3"/>
    <s v="CONTRATAR EL SERVICIO INTEGRAL DE ASEO Y CAFETERIA REGION 9: SEDE 1: CFSM CÚCUTA, SEDE 2: CFSM BUCARAMANGA, SEDE 3: CENAF TIENDITAS, SEDE 4: CENAF VILLA DEL ROSARIO."/>
    <s v="76111501 - 90101700"/>
    <s v="Servicios de limpieza de edificios"/>
    <n v="52000000"/>
    <n v="52000000"/>
    <n v="24523"/>
    <s v="A-02-02-02-006-003 -A-02-02-02-008-005"/>
    <s v="Cancelado"/>
    <m/>
    <m/>
    <m/>
    <m/>
    <m/>
    <m/>
    <m/>
    <s v="Nivel Central"/>
    <s v="Bogotá D.C."/>
    <m/>
    <m/>
    <m/>
    <m/>
    <m/>
    <m/>
    <m/>
    <m/>
    <m/>
    <m/>
    <m/>
    <m/>
    <m/>
    <m/>
    <m/>
    <n v="0"/>
    <m/>
    <m/>
    <m/>
    <m/>
    <m/>
    <m/>
    <m/>
    <m/>
    <m/>
    <m/>
    <m/>
    <m/>
    <m/>
    <m/>
    <m/>
    <m/>
    <e v="#VALUE!"/>
    <m/>
    <m/>
    <m/>
    <m/>
    <m/>
    <m/>
    <m/>
    <m/>
    <m/>
    <n v="0"/>
    <m/>
    <m/>
  </r>
  <r>
    <s v="UNIDAD ADMINISTRATIVA ESPECIAL MIGRACIÓN COLOMBIA"/>
    <s v="900477235-6"/>
    <s v="Secop II"/>
    <n v="169"/>
    <x v="1"/>
    <s v="20236231412000001E"/>
    <s v="LP-001-2023"/>
    <x v="1"/>
    <x v="29"/>
    <s v="Licitación Pública"/>
    <s v="Licitación Pública"/>
    <x v="18"/>
    <s v="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
    <n v="84131500"/>
    <s v="Servicios Financieros y de Seguros"/>
    <n v="2185740000"/>
    <n v="1267351148"/>
    <s v="19023    - VF 1323"/>
    <s v="A-02-02-02-007-001"/>
    <s v="En tramite "/>
    <m/>
    <m/>
    <m/>
    <m/>
    <m/>
    <m/>
    <m/>
    <m/>
    <m/>
    <m/>
    <m/>
    <m/>
    <m/>
    <m/>
    <m/>
    <m/>
    <m/>
    <m/>
    <m/>
    <m/>
    <m/>
    <m/>
    <m/>
    <m/>
    <m/>
    <m/>
    <m/>
    <m/>
    <m/>
    <m/>
    <n v="0"/>
    <m/>
    <m/>
    <m/>
    <m/>
    <m/>
    <m/>
    <m/>
    <m/>
    <m/>
    <m/>
    <m/>
    <m/>
    <m/>
    <m/>
    <m/>
    <m/>
    <m/>
    <m/>
    <m/>
    <m/>
    <m/>
    <m/>
    <m/>
  </r>
  <r>
    <s v="UNIDAD ADMINISTRATIVA ESPECIAL MIGRACIÓN COLOMBIA"/>
    <s v="900477235-6"/>
    <s v="Secop II"/>
    <n v="269"/>
    <x v="1"/>
    <s v="20236231408000008E"/>
    <s v="SAMC-002-2023"/>
    <x v="1"/>
    <x v="29"/>
    <s v="Selección Abreviada"/>
    <s v="Menor Cuantia"/>
    <x v="22"/>
    <s v="CONTRATAR UNA INSTITUCIÓN PRESTADORA DE SERVICIO DE SALUD ESPECIALIZADA EN LA REALIZACIÓN DE EXÁMENES MÉDICOS OCUPACIONALES DE INGRESO, EGRESO, PERIÓDICOS Y POST-INCAPACIDAD Y DE REQUERIRSE ANÁLISIS DE PUESTO DE TRABAJO."/>
    <m/>
    <m/>
    <n v="90000000"/>
    <n v="90000000"/>
    <m/>
    <m/>
    <s v="Celebrado"/>
    <s v="En ejecución"/>
    <m/>
    <s v="OC105871"/>
    <s v="Marzo"/>
    <d v="2023-03-06T00:00:00"/>
    <s v="Orden de Compra"/>
    <m/>
    <s v="Nivel Central"/>
    <s v="Bogotá D.C."/>
    <s v="XERTICA COLOMBIA SAS"/>
    <n v="830077380"/>
    <n v="6"/>
    <m/>
    <m/>
    <m/>
    <m/>
    <m/>
    <n v="123"/>
    <n v="46823"/>
    <d v="2023-02-08T00:00:00"/>
    <n v="1468821137.8"/>
    <m/>
    <m/>
    <m/>
    <n v="1468821137.8"/>
    <s v="Si "/>
    <d v="2023-03-08T00:00:00"/>
    <s v="2 CUMPLIMIENTO"/>
    <d v="2023-03-08T00:00:00"/>
    <d v="2023-12-31T00:00:00"/>
    <n v="298"/>
    <s v="DIEGO EMILIO OJEDA MONCAYO"/>
    <n v="19498970"/>
    <m/>
    <m/>
    <m/>
    <m/>
    <m/>
    <m/>
    <m/>
    <m/>
    <m/>
    <m/>
    <m/>
    <m/>
    <m/>
    <m/>
    <m/>
    <m/>
    <m/>
    <m/>
    <m/>
    <m/>
    <m/>
  </r>
  <r>
    <s v="UNIDAD ADMINISTRATIVA ESPECIAL MIGRACIÓN COLOMBIA"/>
    <s v="900477235-6"/>
    <s v="Secop II"/>
    <n v="35"/>
    <x v="0"/>
    <s v="20236231415000007E"/>
    <s v="PCD-081-2023-9COM"/>
    <x v="1"/>
    <x v="29"/>
    <s v="Contratación Directa"/>
    <s v="Exclusividad"/>
    <x v="4"/>
    <s v="CONTRATAR LA PUBLICACIÓN DE DIFERENTES AVISOS DE PRENSA EN EL PERIÓDICO LA REPÚBLICA, DE ACUERDO A LAS NECESIDADES REQUERIDAS POR LA ENTIDAD."/>
    <n v="82121506"/>
    <s v="Impresión de publicaciones"/>
    <n v="5000000"/>
    <n v="5000000"/>
    <n v="24823"/>
    <s v="A-02-02-02-008-003"/>
    <s v="Celebrado"/>
    <s v="En ejecución"/>
    <m/>
    <s v="CO-104-2023"/>
    <s v="Marzo"/>
    <d v="2023-03-17T00:00:00"/>
    <s v="Prestación de Servicios Profesionales"/>
    <m/>
    <s v="Nivel Central"/>
    <s v="Bogotá D.C."/>
    <s v="EDITORIAL LA REPUBLICA SAS"/>
    <n v="901017183"/>
    <n v="2"/>
    <s v="N/A"/>
    <s v="NO"/>
    <s v="No es mypime"/>
    <s v="Sociedad por acciones simplificadas"/>
    <s v="N/A"/>
    <s v="N/A"/>
    <n v="57623"/>
    <d v="2023-03-17T00:00:00"/>
    <n v="5000000"/>
    <m/>
    <m/>
    <m/>
    <n v="5000000"/>
    <s v="NO"/>
    <s v="N/A"/>
    <s v="N/A"/>
    <d v="2023-03-21T00:00:00"/>
    <d v="2023-12-31T00:00:00"/>
    <n v="285"/>
    <s v="MARITZA ROCIO SERRANO VILLAMIL"/>
    <n v="39757630"/>
    <m/>
    <m/>
    <m/>
    <m/>
    <m/>
    <m/>
    <m/>
    <m/>
    <e v="#REF!"/>
    <m/>
    <m/>
    <m/>
    <m/>
    <m/>
    <m/>
    <m/>
    <m/>
    <m/>
    <n v="285"/>
    <m/>
    <m/>
  </r>
  <r>
    <s v="UNIDAD ADMINISTRATIVA ESPECIAL MIGRACIÓN COLOMBIA"/>
    <s v="900477235-6"/>
    <s v="Secop II"/>
    <n v="71"/>
    <x v="0"/>
    <s v="20236231407000001E"/>
    <s v="MC-005-2023-29TEC"/>
    <x v="1"/>
    <x v="29"/>
    <s v="Mínima cuantía"/>
    <s v="Prestación de Servicios Profesionales "/>
    <x v="2"/>
    <s v="SERVICIO DE MANTENIMIENTO PREVENTIVO Y CORRECTIVO CON SUMINISTRO DE REPUESTOS Y BATERÍAS, DE LAS UPS MARCAS POWERSUN, TRIPP LITE Y SAT. "/>
    <n v="72103302"/>
    <s v="Mantenimiento o soporte de equipo de telecomunicaciones"/>
    <n v="11800000"/>
    <n v="11800000"/>
    <n v="22723"/>
    <s v="C-1199-1002-10-0-1199001-02"/>
    <s v="Celebrado"/>
    <s v="En ejecución"/>
    <m/>
    <s v="AO-007-2023"/>
    <s v="Abril"/>
    <d v="2023-04-11T00:00:00"/>
    <s v="Prestación de Servicios"/>
    <m/>
    <s v="Nivel Central"/>
    <s v="Bogotá D.C."/>
    <s v="POWERSUN SAS"/>
    <n v="900098348"/>
    <n v="3"/>
    <s v="N/A"/>
    <s v="SI"/>
    <s v="N/A"/>
    <s v="Sociedad por acciones simplificadas"/>
    <s v="N/A"/>
    <s v="N/A"/>
    <n v="69623"/>
    <d v="2023-04-12T00:00:00"/>
    <n v="7186316"/>
    <m/>
    <m/>
    <m/>
    <n v="7186316"/>
    <s v="Si "/>
    <d v="2023-04-03T00:00:00"/>
    <s v="CUMPLIMIENTO, CALIDAD DEL SERVICIO, PAGO DE SALARIOS"/>
    <d v="2023-04-12T00:00:00"/>
    <d v="2023-12-31T00:00:00"/>
    <n v="263"/>
    <s v="DIEGO EMILIO OJEDA MONCAYO"/>
    <n v="19498970"/>
    <m/>
    <m/>
    <m/>
    <m/>
    <m/>
    <m/>
    <m/>
    <m/>
    <e v="#REF!"/>
    <m/>
    <m/>
    <m/>
    <m/>
    <m/>
    <m/>
    <m/>
    <m/>
    <m/>
    <n v="263"/>
    <m/>
    <m/>
  </r>
  <r>
    <s v="UNIDAD ADMINISTRATIVA ESPECIAL MIGRACIÓN COLOMBIA"/>
    <s v="900477235-6"/>
    <s v="Secop II"/>
    <n v="198"/>
    <x v="0"/>
    <s v="20236231407000002E"/>
    <s v="MC-004-2023-80SYF"/>
    <x v="1"/>
    <x v="29"/>
    <s v="Mínima cuantía"/>
    <s v="Prestación de Servicios Profesionales "/>
    <x v="3"/>
    <s v="SERVICIO DE LIMPIEZA, MANTENIMIENTO Y VACIADO DE POZOS Y TANQUES DE ALMACENAMIENTO DE AGUAS RESIDUALES A NIVEL NACIONAL"/>
    <n v="40151510"/>
    <s v="Bombas de agua"/>
    <n v="40000000"/>
    <n v="40000000"/>
    <n v="21323"/>
    <s v="A-02-02-02-008-007"/>
    <s v="Celebrado"/>
    <s v="En ejecución"/>
    <m/>
    <s v="AO-006-2023"/>
    <s v="Abril"/>
    <d v="2023-04-11T00:00:00"/>
    <s v="Prestación de Servicios"/>
    <m/>
    <s v="Nivel Central"/>
    <s v="Bogotá D.C."/>
    <s v="INDULTEC SOLUCIONES INTEGRALES SAS"/>
    <n v="901520694"/>
    <n v="0"/>
    <s v="N/A"/>
    <s v="SI"/>
    <s v="Pequeña"/>
    <s v="Sociedad por acciones simplificadas"/>
    <s v="N/A"/>
    <s v="N/A"/>
    <n v="69023"/>
    <d v="2023-04-12T00:00:00"/>
    <n v="40000000"/>
    <m/>
    <m/>
    <m/>
    <n v="40000000"/>
    <s v="Si "/>
    <d v="2023-04-12T00:00:00"/>
    <s v="CUMPLIMIENTO, CALIDAD DEL SERVICIO, PAGO DE SALARIOS"/>
    <d v="2023-04-18T00:00:00"/>
    <d v="2023-12-31T00:00:00"/>
    <n v="257"/>
    <s v="JUAN CARLOS ACOSTA ALVAREZ"/>
    <n v="1070618478"/>
    <m/>
    <m/>
    <m/>
    <m/>
    <m/>
    <m/>
    <m/>
    <m/>
    <e v="#REF!"/>
    <m/>
    <m/>
    <m/>
    <m/>
    <m/>
    <m/>
    <m/>
    <m/>
    <m/>
    <n v="257"/>
    <m/>
    <m/>
  </r>
  <r>
    <s v="UNIDAD ADMINISTRATIVA ESPECIAL MIGRACIÓN COLOMBIA"/>
    <s v="900477235-6"/>
    <s v="Secop II"/>
    <n v="228"/>
    <x v="0"/>
    <s v="20236231415000010E"/>
    <s v="PCD-086-202-54TEC"/>
    <x v="1"/>
    <x v="29"/>
    <s v="Contratación Directa"/>
    <s v="Exclusividad"/>
    <x v="2"/>
    <s v="CONTRATAR LA EXTENSIÓN DE GARANTÍA INCLUIDO MANTENIMIENTOS PREVENTIVOS Y CORRECTIVOS CON REPUESTOS, PARA LA SOLUCIÓN DE PASILLOS MIGRATORIOS BIOMIG."/>
    <n v="30171510"/>
    <s v="Puertas automáticas"/>
    <n v="1814000000"/>
    <n v="1710773000"/>
    <n v="23023"/>
    <s v="C-1199-1002-10-0-1199001-02"/>
    <s v="Celebrado"/>
    <s v="En ejecución"/>
    <m/>
    <s v="CO-097-2023"/>
    <s v="Marzo"/>
    <d v="2023-03-23T00:00:00"/>
    <s v="Compraventa"/>
    <m/>
    <s v="Nivel Central"/>
    <s v="Bogotá D.C."/>
    <s v="INCOMELEC S.A.S EN REORGANIZACIÓN"/>
    <n v="900075980"/>
    <n v="1"/>
    <s v="N/A"/>
    <s v="SI"/>
    <s v="Mediana "/>
    <s v="Sociedad por acciones simplificadas"/>
    <s v="N/A"/>
    <s v="N/A"/>
    <n v="60023"/>
    <d v="2023-03-23T00:00:00"/>
    <n v="1710772983"/>
    <m/>
    <m/>
    <m/>
    <n v="1710772983"/>
    <s v="Si "/>
    <m/>
    <m/>
    <m/>
    <m/>
    <n v="0"/>
    <s v="DIEGO EMILIO OJEDA MONCAYO"/>
    <n v="19498970"/>
    <m/>
    <m/>
    <m/>
    <m/>
    <m/>
    <m/>
    <m/>
    <m/>
    <e v="#REF!"/>
    <m/>
    <m/>
    <m/>
    <m/>
    <m/>
    <m/>
    <m/>
    <m/>
    <m/>
    <n v="0"/>
    <m/>
    <s v="NO HAN ENVIADO PÓLIZAS"/>
  </r>
  <r>
    <s v="UNIDAD ADMINISTRATIVA ESPECIAL MIGRACIÓN COLOMBIA"/>
    <s v="900477235-6"/>
    <s v="Secop II"/>
    <n v="233"/>
    <x v="0"/>
    <s v="20236231407000005E"/>
    <s v="MC-001-2023-8CM"/>
    <x v="1"/>
    <x v="29"/>
    <s v="Mínima cuantía"/>
    <s v="Prestación de Servicios Profesionales "/>
    <x v="12"/>
    <s v="SERVICIO DE MANTENIMIENTO PREVENTIVO Y CORRECTIVO PARA LOS EQUIPOS DE GRAFOLOGÍA ESTÉREO MICROSCOPIOS A NIVEL NACIONAL, CON BOLSA DE REPUESTOS                                                                                                                              "/>
    <s v="46151708;46151712;72151704;81101706;81101713"/>
    <s v="Magnificadores para uso forense - Servicio de instalación y mantenimiento de sistemas instrumentados de seguridad - Mantenimiento de equipos de laboratorio - Estaciones de trabajo químico para uso forense - Servicio técnico y de diseño de instrumentos de medición y de registro electrónicos"/>
    <n v="16414056.75"/>
    <n v="16414056.75"/>
    <n v="21523"/>
    <s v="C-1199-1002-10-0-1199001-02"/>
    <s v="Celebrado"/>
    <s v="En ejecución"/>
    <m/>
    <s v="AO-005-2023"/>
    <s v="Marzo"/>
    <d v="2023-03-30T00:00:00"/>
    <s v="Prestación de Servicios Profesionales "/>
    <m/>
    <s v="Nivel Central"/>
    <s v="Bogotá D.C."/>
    <s v="CI GLOBAL SCIENTIFIC S.A.S"/>
    <n v="830067880"/>
    <n v="4"/>
    <s v="N/A"/>
    <s v="SI"/>
    <s v="N/A"/>
    <s v="Sociedad por acciones simplificadas"/>
    <s v="N/A"/>
    <s v="N/A"/>
    <n v="68126"/>
    <d v="2023-04-11T00:00:00"/>
    <n v="16231600"/>
    <m/>
    <m/>
    <m/>
    <n v="16231600"/>
    <s v="Si "/>
    <d v="2023-04-10T00:00:00"/>
    <s v="CUMPLIMIENTO, CALIDAD DEL SERVICIO, PAGO DE SALARIOS"/>
    <d v="2023-04-11T00:00:00"/>
    <d v="2023-12-31T00:00:00"/>
    <n v="264"/>
    <s v="ROBINSON VALENCIA GIRALDO"/>
    <n v="75035031"/>
    <m/>
    <m/>
    <m/>
    <m/>
    <m/>
    <m/>
    <m/>
    <m/>
    <e v="#REF!"/>
    <m/>
    <m/>
    <m/>
    <m/>
    <m/>
    <m/>
    <m/>
    <m/>
    <m/>
    <n v="264"/>
    <m/>
    <m/>
  </r>
  <r>
    <s v="UNIDAD ADMINISTRATIVA ESPECIAL MIGRACIÓN COLOMBIA"/>
    <s v="900477235-6"/>
    <s v="Secop II"/>
    <n v="281"/>
    <x v="0"/>
    <s v="20236231415000011E"/>
    <s v="PCD-089-2023"/>
    <x v="1"/>
    <x v="29"/>
    <s v="Contratación Directa"/>
    <s v="Exclusividad"/>
    <x v="12"/>
    <s v="CONTRATAR EL SERVICIO DE MANTENIMIENTO PREVENTIVO DE LA MÁQUINA LÁSER TROTEC SP100R C30 Y DEL SUMINISTRO DEL SISTEMA DE EXTRACCIÓN 8260 ATMOS MONO Y SU RESPECTIVA BOLSA DE REPUESTOS."/>
    <n v="73152100"/>
    <s v="Servicios de mantenimiento y reparación de equipo de manufactura"/>
    <n v="16275000"/>
    <n v="16275000"/>
    <n v="13023"/>
    <s v="C-1199-1002-10-0-1199001-02"/>
    <s v="Celebrado"/>
    <s v="En ejecución"/>
    <m/>
    <s v="CO-105-2023"/>
    <s v="Marzo"/>
    <d v="2023-03-22T00:00:00"/>
    <s v="Prestación de Servicios Profesionales "/>
    <m/>
    <s v="Regional Andina"/>
    <s v="Bogotá D.C."/>
    <s v="EDALTEC S.A.S"/>
    <n v="900426006"/>
    <n v="8"/>
    <s v="N/A"/>
    <s v="NO"/>
    <s v="No es mypime"/>
    <s v="Sociedad por acciones simplificadas"/>
    <s v="N/A"/>
    <s v="N/A"/>
    <n v="59423"/>
    <d v="2023-03-23T00:00:00"/>
    <n v="16275000"/>
    <m/>
    <m/>
    <m/>
    <n v="16275000"/>
    <s v="Si "/>
    <d v="2023-03-23T00:00:00"/>
    <s v="CUMPLIMIENTO, CALIDAD DEL SERVICIO, PROVISIÓN DE REPUESTOS"/>
    <d v="2023-03-23T00:00:00"/>
    <d v="2023-12-31T00:00:00"/>
    <n v="283"/>
    <s v="ROBINSON VALENCIA GIRALDO"/>
    <n v="75035031"/>
    <m/>
    <m/>
    <m/>
    <m/>
    <m/>
    <m/>
    <m/>
    <m/>
    <e v="#REF!"/>
    <m/>
    <m/>
    <m/>
    <m/>
    <m/>
    <m/>
    <m/>
    <m/>
    <m/>
    <n v="283"/>
    <m/>
    <m/>
  </r>
  <r>
    <s v="UNIDAD ADMINISTRATIVA ESPECIAL MIGRACIÓN COLOMBIA"/>
    <s v="900477235-6"/>
    <s v="Secop II"/>
    <n v="278"/>
    <x v="4"/>
    <s v="20236231407000010E"/>
    <s v="MC-006-2023"/>
    <x v="2"/>
    <x v="30"/>
    <s v="minima cuantia "/>
    <s v="aseo y cafeteria region 11"/>
    <x v="23"/>
    <s v="Contratar el servicio integral de aseo y cafetería Región 11: Sede 1: _x000a_CFSM Calle 100 Regional Andina, Sede 2: PCM Aeropuerto Internacional _x000a_El Dorado, Sede 3: Sede Nivel central Edificio Argos, sede 4: CB Normandía de la UAEMC"/>
    <s v="76111501-90101700"/>
    <s v="servicios de aseo y limpieza- restaurantes y catering"/>
    <n v="52000000"/>
    <n v="52000000"/>
    <n v="24623"/>
    <s v="A-02-02-02-006-003"/>
    <s v="Celebrado"/>
    <s v="En ejecución"/>
    <m/>
    <s v="AO-002-2023"/>
    <s v="Marzo"/>
    <d v="2023-03-16T00:00:00"/>
    <s v="minima cuantia  "/>
    <m/>
    <s v="Nivel Central"/>
    <s v="Bogotá D.C."/>
    <s v="LIMPIEZA INSTITUCIONAL LASU S.A.S."/>
    <s v="900427788-3"/>
    <m/>
    <s v="N/A"/>
    <s v="NO"/>
    <m/>
    <m/>
    <m/>
    <e v="#REF!"/>
    <n v="57223"/>
    <d v="2023-03-17T00:00:00"/>
    <n v="52000000"/>
    <m/>
    <m/>
    <m/>
    <n v="52000000"/>
    <s v="SI"/>
    <d v="2023-03-15T00:00:00"/>
    <s v="2 CUMPLIMIENTO"/>
    <d v="2023-03-17T00:00:00"/>
    <d v="2023-04-17T00:00:00"/>
    <n v="30"/>
    <s v="Jesús Andrés Porras García "/>
    <n v="79994053"/>
    <m/>
    <m/>
    <m/>
    <m/>
    <m/>
    <m/>
    <m/>
    <m/>
    <n v="52000000"/>
    <m/>
    <m/>
    <m/>
    <m/>
    <m/>
    <m/>
    <m/>
    <m/>
    <m/>
    <n v="30"/>
    <m/>
    <m/>
  </r>
  <r>
    <s v="UNIDAD ADMINISTRATIVA ESPECIAL MIGRACIÓN COLOMBIA"/>
    <s v="900477235-6"/>
    <s v="Secop II"/>
    <n v="69"/>
    <x v="1"/>
    <s v="20236231408000005E"/>
    <s v="SIE-003-2023"/>
    <x v="2"/>
    <x v="31"/>
    <s v="Selección Abreviada"/>
    <s v="Subasta Inversa Electrónica"/>
    <x v="10"/>
    <s v="Contratar la prestación del servicio de mantenimiento preventivo y correctivo con bolsa de repuestos para los componentes de los CCTV, de acuerdo con los requerimientos técnicos de la Unidad Administrativa Especial Migración Colombia."/>
    <n v="43232800"/>
    <s v="Software de administración de redes"/>
    <n v="96500000"/>
    <n v="96489999"/>
    <n v="20523"/>
    <s v="C-1199-1002-10-0-1199001-02"/>
    <s v="En tramite "/>
    <m/>
    <m/>
    <m/>
    <m/>
    <m/>
    <m/>
    <m/>
    <m/>
    <m/>
    <m/>
    <m/>
    <m/>
    <m/>
    <m/>
    <m/>
    <m/>
    <m/>
    <n v="123"/>
    <m/>
    <m/>
    <m/>
    <m/>
    <m/>
    <m/>
    <m/>
    <m/>
    <m/>
    <m/>
    <m/>
    <m/>
    <n v="0"/>
    <m/>
    <m/>
    <m/>
    <m/>
    <m/>
    <m/>
    <m/>
    <m/>
    <m/>
    <m/>
    <m/>
    <m/>
    <m/>
    <m/>
    <m/>
    <m/>
    <m/>
    <m/>
    <m/>
    <m/>
    <m/>
    <m/>
    <m/>
  </r>
  <r>
    <s v="UNIDAD ADMINISTRATIVA ESPECIAL MIGRACIÓN COLOMBIA"/>
    <s v="900477235-6"/>
    <s v="Secop II"/>
    <n v="111"/>
    <x v="0"/>
    <s v="20233001413000013E"/>
    <s v="PCD-088-2023"/>
    <x v="2"/>
    <x v="32"/>
    <s v="Contratación Directa"/>
    <s v="Prestación de Servicios Profesionales "/>
    <x v="2"/>
    <s v="CONTRATAR LA PRESTACIÓN DE SERVICIOS DE APOYO A LA GESTIÓN, PARA LA ATENCIÓN AL CIUDADANO Y LAS DEMAS ACTIVIDADES MISIONALES Y ADMINISTRATIVAS INHERENTES A LA REGIONAL ORIENTE."/>
    <n v="80161500"/>
    <s v="Servicios de apoyo gerencial"/>
    <n v="25000000"/>
    <n v="27500000"/>
    <n v="23423"/>
    <s v="C-1199-1002-10-0-1199001-02"/>
    <s v="Celebrado"/>
    <s v="En ejecución"/>
    <m/>
    <s v="CO-086-2023"/>
    <s v="Marzo"/>
    <d v="2023-03-13T00:00:00"/>
    <s v="Prestación de Servicios Profesionales "/>
    <m/>
    <s v="Regional Oriente"/>
    <s v="Cúcuta"/>
    <s v="VIANEY RIVERA BOTELLO"/>
    <n v="1090393438"/>
    <s v="-"/>
    <s v="TÉCNICO EN SECRETARIADO Y CONTABILIDAD SISTEMATIZADA"/>
    <s v="NO"/>
    <s v="No es mypime"/>
    <s v="N/A"/>
    <d v="1988-03-23T00:00:00"/>
    <e v="#REF!"/>
    <n v="54623"/>
    <d v="2023-03-14T00:00:00"/>
    <n v="25000000"/>
    <m/>
    <m/>
    <m/>
    <n v="25000000"/>
    <s v="Si "/>
    <d v="2023-03-07T00:00:00"/>
    <s v="2 CUMPLIMIENTO"/>
    <d v="2023-03-15T00:00:00"/>
    <d v="2023-12-31T00:00:00"/>
    <n v="291"/>
    <s v="RAFAEL DARIO EUGENIO PARADA"/>
    <n v="88151663"/>
    <m/>
    <m/>
    <m/>
    <m/>
    <m/>
    <m/>
    <m/>
    <m/>
    <e v="#REF!"/>
    <m/>
    <m/>
    <m/>
    <m/>
    <m/>
    <m/>
    <m/>
    <m/>
    <m/>
    <n v="291"/>
    <m/>
    <m/>
  </r>
  <r>
    <s v="UNIDAD ADMINISTRATIVA ESPECIAL MIGRACIÓN COLOMBIA"/>
    <s v="900477235-6"/>
    <s v="Secop II"/>
    <n v="112"/>
    <x v="0"/>
    <s v="20233001413000014E"/>
    <s v="PCD-094-2023"/>
    <x v="2"/>
    <x v="32"/>
    <s v="Contratación Directa"/>
    <s v="Prestación de Servicios Profesionales "/>
    <x v="2"/>
    <s v="CONTRATAR LA PRESTACIÓN DE SERVICIOS DE APOYO A LA GESTIÓN, PARA LA ATENCIÓN AL CIUDADANO Y LAS DEMAS ACTIVIDADES MISIONALES Y ADMINISTRATIVAS INHERENTES A LA REGIONAL ORIENTE."/>
    <n v="80161500"/>
    <s v="Servicios de apoyo gerencial"/>
    <n v="25000000"/>
    <n v="27500000"/>
    <n v="23323"/>
    <s v="C-1199-1002-10-0-1199001-02"/>
    <s v="Celebrado"/>
    <s v="En ejecución"/>
    <m/>
    <s v="CO-087-2023"/>
    <s v="Marzo"/>
    <d v="2023-03-07T00:00:00"/>
    <s v="Prestación de Servicios Profesionales "/>
    <m/>
    <s v="Regional Oriente"/>
    <s v="Cúcuta"/>
    <s v="JESUS DAVID FUENTES CRISTANCHO"/>
    <n v="1090504369"/>
    <s v="-"/>
    <s v="TÉCNICO EN SEGURIDAD OCUPACIONAL"/>
    <s v="NO"/>
    <s v="No es mypime"/>
    <s v="N/A"/>
    <d v="1997-03-26T00:00:00"/>
    <e v="#REF!"/>
    <n v="48923"/>
    <d v="2023-03-08T00:00:00"/>
    <n v="25000000"/>
    <m/>
    <m/>
    <m/>
    <n v="25000000"/>
    <s v="Si "/>
    <d v="2023-03-08T00:00:00"/>
    <s v="2 CUMPLIMIENTO"/>
    <d v="2023-03-15T00:00:00"/>
    <d v="2023-12-31T00:00:00"/>
    <n v="291"/>
    <s v="RAFAEL DARIO EUGENIO PARADA"/>
    <n v="88151663"/>
    <m/>
    <m/>
    <m/>
    <m/>
    <m/>
    <m/>
    <m/>
    <m/>
    <e v="#REF!"/>
    <m/>
    <m/>
    <m/>
    <m/>
    <m/>
    <m/>
    <m/>
    <m/>
    <m/>
    <n v="291"/>
    <m/>
    <m/>
  </r>
  <r>
    <s v="UNIDAD ADMINISTRATIVA ESPECIAL MIGRACIÓN COLOMBIA"/>
    <s v="900477235-6"/>
    <s v="Secop II"/>
    <n v="113"/>
    <x v="0"/>
    <s v="20233001413000015E"/>
    <s v="PCD-085-2023"/>
    <x v="2"/>
    <x v="32"/>
    <s v="Contratación Directa"/>
    <s v="Prestación de Servicios Profesionales "/>
    <x v="2"/>
    <s v="CONTRATAR LA PRESTACIÓN DE SERVICIOS DE APOYO A LA GESTIÓN, PARA LA ATENCIÓN AL CIUDADANO Y LAS DEMAS ACTIVIDADES MISIONALES Y ADMINISTRATIVAS INHERENTES A LA REGIONAL ORIENTE."/>
    <n v="80161500"/>
    <s v="Servicios de apoyo gerencial"/>
    <n v="25000000"/>
    <n v="27500000"/>
    <n v="23223"/>
    <s v="C-1199-1002-10-0-1199001-02"/>
    <s v="Celebrado"/>
    <s v="En ejecución"/>
    <m/>
    <s v="CO-085-2023"/>
    <s v="Marzo"/>
    <d v="2023-03-08T00:00:00"/>
    <s v="Prestación de Servicios Profesionales "/>
    <m/>
    <s v="Regional Oriente"/>
    <s v="Cúcuta"/>
    <s v="LEIDY LEONOR PEREZ ROLON"/>
    <n v="1093766424"/>
    <s v="-"/>
    <s v="TÉCNICO EN RECURSOS HUMANOS"/>
    <s v="NO"/>
    <s v="No es mypime"/>
    <s v="N/A"/>
    <d v="1992-12-30T00:00:00"/>
    <e v="#REF!"/>
    <n v="53923"/>
    <d v="2023-03-13T00:00:00"/>
    <n v="25000000"/>
    <m/>
    <m/>
    <m/>
    <n v="25000000"/>
    <s v="Si "/>
    <d v="2023-03-03T00:00:00"/>
    <s v="2 CUMPLIMIENTO"/>
    <d v="2023-03-14T00:00:00"/>
    <d v="2023-12-31T00:00:00"/>
    <n v="292"/>
    <s v="RAFAEL DARIO EUGENIO PARADA"/>
    <n v="88151663"/>
    <m/>
    <m/>
    <m/>
    <m/>
    <m/>
    <m/>
    <m/>
    <m/>
    <e v="#REF!"/>
    <m/>
    <m/>
    <m/>
    <m/>
    <m/>
    <m/>
    <m/>
    <m/>
    <m/>
    <n v="292"/>
    <m/>
    <m/>
  </r>
  <r>
    <s v="UNIDAD ADMINISTRATIVA ESPECIAL MIGRACIÓN COLOMBIA"/>
    <s v="900477235-6"/>
    <s v="Secop II"/>
    <n v="104"/>
    <x v="3"/>
    <s v="20233001413000006E"/>
    <s v="PCD-095-2023-66TEC"/>
    <x v="2"/>
    <x v="33"/>
    <s v="Contratación Directa"/>
    <s v="Prestación de Servicios de Apoyo a la Gestión"/>
    <x v="12"/>
    <s v="CONTRATAR LA PRESTACIÓN DE SERVICIOS DE APOYO A LA GESTIÓN, PARA LA ATENCIÓN AL CIUDADANO Y LAS DEMAS ACTIVIDADES MISIONALES Y ADMINISTRATIVAS INHERENTES A LA REGIONAL ORIENTE."/>
    <n v="80161500"/>
    <s v="Servicios Secretariales o de administración de Oficinas"/>
    <n v="25000000"/>
    <n v="25000000"/>
    <n v="24123"/>
    <s v="C-1199-1002-10-0-1199001-02 "/>
    <s v="Celebrado"/>
    <s v="En ejecución"/>
    <s v="N/A"/>
    <s v="CO-092-2023"/>
    <s v="Marzo"/>
    <d v="2023-03-09T00:00:00"/>
    <s v="Prestación de Servicios de Apoyo a la Gestión"/>
    <m/>
    <s v="Oriente"/>
    <s v="Cúcuta - Norte de Santander"/>
    <s v="MADELEYNE TORO SANCHEZ"/>
    <n v="1093799482"/>
    <s v="N/A"/>
    <s v="Tec. Analisis y Des. De Sistemas de Inf."/>
    <m/>
    <m/>
    <m/>
    <d v="1999-05-16T00:00:00"/>
    <e v="#REF!"/>
    <n v="53823"/>
    <d v="2023-03-10T00:00:00"/>
    <n v="25000000"/>
    <m/>
    <m/>
    <m/>
    <n v="25000000"/>
    <s v="SI"/>
    <d v="2023-03-15T00:00:00"/>
    <s v="2 CUMPLIMIENTO"/>
    <d v="2023-03-16T00:00:00"/>
    <d v="2023-12-31T00:00:00"/>
    <n v="290"/>
    <s v="EUGENIO PARADA RAFAEL DARIO"/>
    <n v="88151663"/>
    <m/>
    <m/>
    <m/>
    <m/>
    <m/>
    <m/>
    <m/>
    <m/>
    <e v="#REF!"/>
    <m/>
    <m/>
    <m/>
    <m/>
    <m/>
    <m/>
    <m/>
    <m/>
    <m/>
    <n v="290"/>
    <m/>
    <m/>
  </r>
  <r>
    <s v="UNIDAD ADMINISTRATIVA ESPECIAL MIGRACIÓN COLOMBIA"/>
    <s v="900477235-6"/>
    <s v="Secop II"/>
    <n v="105"/>
    <x v="3"/>
    <s v="20233001413000007E"/>
    <s v="PCD-096-2023-67TEC"/>
    <x v="2"/>
    <x v="33"/>
    <s v="Contratación Directa"/>
    <s v="Prestación de Servicios de Apoyo a la Gestión"/>
    <x v="12"/>
    <s v="CONTRATAR LA PRESTACIÓN DE SERVICIOS DE APOYO A LA GESTIÓN, PARA LA ATENCIÓN AL CIUDADANO Y LAS DEMAS ACTIVIDADES MISIONALES Y ADMINISTRATIVAS INHERENTES A LA REGIONAL ORIENTE."/>
    <n v="80161500"/>
    <s v="Servicios Secretariales o de administración de Oficinas"/>
    <n v="25000000"/>
    <n v="25000000"/>
    <n v="24023"/>
    <s v="C-1199-1002-10-0-1199001-02"/>
    <s v="Celebrado"/>
    <s v="En ejecución"/>
    <s v="N/A"/>
    <s v="CO-093-2023"/>
    <s v="Marzo"/>
    <d v="2023-03-09T00:00:00"/>
    <s v="Prestación de Servicios de Apoyo a la Gestión"/>
    <m/>
    <s v="Oriente"/>
    <s v="Cúcuta - Norte de Santander"/>
    <s v="ALIRIO ARMANDO AREVALO MARTINEZ"/>
    <n v="1093767483"/>
    <s v="N/A"/>
    <s v="Tec. En Gestión Empresarial"/>
    <m/>
    <m/>
    <m/>
    <d v="1993-04-15T00:00:00"/>
    <e v="#REF!"/>
    <n v="53723"/>
    <d v="2023-03-10T00:00:00"/>
    <n v="25000000"/>
    <m/>
    <m/>
    <m/>
    <n v="25000000"/>
    <s v="SI"/>
    <d v="2023-03-09T00:00:00"/>
    <s v="2 CUMPLIMIENTO"/>
    <d v="2023-03-13T00:00:00"/>
    <d v="2023-12-31T00:00:00"/>
    <n v="293"/>
    <s v="EUGENIO PARADA RAFAEL DARIO"/>
    <n v="88151663"/>
    <m/>
    <m/>
    <m/>
    <m/>
    <m/>
    <m/>
    <m/>
    <m/>
    <e v="#REF!"/>
    <m/>
    <m/>
    <m/>
    <m/>
    <m/>
    <m/>
    <m/>
    <m/>
    <m/>
    <n v="293"/>
    <m/>
    <m/>
  </r>
  <r>
    <s v="UNIDAD ADMINISTRATIVA ESPECIAL MIGRACIÓN COLOMBIA"/>
    <s v="900477235-6"/>
    <s v="Secop II"/>
    <n v="106"/>
    <x v="3"/>
    <s v="20233001413000008E"/>
    <s v="PCD-097-2023-68TEC"/>
    <x v="2"/>
    <x v="33"/>
    <s v="Contratación Directa"/>
    <s v="Prestación de Servicios de Apoyo a la Gestión"/>
    <x v="12"/>
    <s v="CONTRATAR LA PRESTACIÓN DE SERVICIOS DE APOYO A LA GESTIÓN, PARA LA ATENCIÓN AL CIUDADANO Y LAS DEMAS ACTIVIDADES MISIONALES Y ADMINISTRATIVAS INHERENTES A LA REGIONAL ORIENTE."/>
    <n v="80161500"/>
    <s v="Servicios Secretariales o de administración de Oficinas"/>
    <n v="25000000"/>
    <n v="25000000"/>
    <n v="23923"/>
    <s v="C-1199-1002-10-0-1199001-02 "/>
    <s v="Celebrado"/>
    <s v="En ejecución"/>
    <s v="N/A"/>
    <s v="CO-094-2023"/>
    <s v="Marzo"/>
    <d v="2023-03-08T00:00:00"/>
    <s v="Prestación de Servicios de Apoyo a la Gestión"/>
    <m/>
    <s v="Oriente"/>
    <s v="Cúcuta - Norte de Santander"/>
    <s v="YASMIN ROCIO ESCANDON CRISTANCHO"/>
    <n v="1005000669"/>
    <s v="N/A"/>
    <s v="Tec. En Gestión Adm."/>
    <m/>
    <m/>
    <m/>
    <d v="2001-02-08T00:00:00"/>
    <e v="#REF!"/>
    <n v="52423"/>
    <d v="2023-03-09T00:00:00"/>
    <n v="25000000"/>
    <m/>
    <m/>
    <m/>
    <n v="25000000"/>
    <s v="SI"/>
    <d v="2023-03-15T00:00:00"/>
    <s v="2 CUMPLIMIENTO"/>
    <d v="2023-03-16T00:00:00"/>
    <d v="2023-12-31T00:00:00"/>
    <n v="290"/>
    <s v="EUGENIO PARADA RAFAEL DARIO"/>
    <n v="88151663"/>
    <m/>
    <m/>
    <m/>
    <m/>
    <m/>
    <m/>
    <m/>
    <m/>
    <e v="#REF!"/>
    <m/>
    <m/>
    <m/>
    <m/>
    <m/>
    <m/>
    <m/>
    <m/>
    <m/>
    <n v="290"/>
    <m/>
    <m/>
  </r>
  <r>
    <s v="UNIDAD ADMINISTRATIVA ESPECIAL MIGRACIÓN COLOMBIA"/>
    <s v="900477235-6"/>
    <s v="Secop II"/>
    <n v="107"/>
    <x v="3"/>
    <s v="20233001413000009E"/>
    <s v="PCD-098-2023-69TEC"/>
    <x v="2"/>
    <x v="33"/>
    <s v="Contratación Directa"/>
    <s v="Prestación de Servicios de Apoyo a la Gestión"/>
    <x v="12"/>
    <s v="CONTRATAR LA PRESTACIÓN DE SERVICIOS DE APOYO A LA GESTIÓN, PARA LA ATENCIÓN AL CIUDADANO Y LAS DEMAS ACTIVIDADES MISIONALES Y ADMINISTRATIVAS INHERENTES A LA REGIONAL ORIENTE."/>
    <n v="80161500"/>
    <s v="Servicios Secretariales o de administración de Oficinas"/>
    <n v="25000000"/>
    <n v="25000000"/>
    <n v="23823"/>
    <s v="C-1199-1002-10-0-1199001-02 "/>
    <s v="Celebrado"/>
    <s v="En ejecución"/>
    <s v="N/A"/>
    <s v="CO-095-2023"/>
    <s v="Marzo"/>
    <d v="2023-03-09T00:00:00"/>
    <s v="Prestación de Servicios de Apoyo a la Gestión"/>
    <m/>
    <s v="Oriente"/>
    <s v="Cúcuta - Norte de Santander"/>
    <s v="SAMAEL NESIM TAVERA RUEDA"/>
    <n v="1090431962"/>
    <s v="N/A"/>
    <s v="Tec. Analisis y Des. De Sistemas de Inf."/>
    <m/>
    <m/>
    <m/>
    <d v="1991-03-23T00:00:00"/>
    <e v="#REF!"/>
    <n v="54823"/>
    <d v="2023-03-14T00:00:00"/>
    <n v="25000000"/>
    <m/>
    <m/>
    <m/>
    <n v="25000000"/>
    <s v="SI"/>
    <d v="2023-03-13T00:00:00"/>
    <s v="2 CUMPLIMIENTO"/>
    <d v="2023-03-16T00:00:00"/>
    <d v="2023-12-31T00:00:00"/>
    <n v="290"/>
    <s v="EUGENIO PARADA RAFAEL DARIO"/>
    <n v="88151663"/>
    <m/>
    <m/>
    <m/>
    <m/>
    <m/>
    <m/>
    <m/>
    <m/>
    <e v="#REF!"/>
    <m/>
    <m/>
    <m/>
    <m/>
    <m/>
    <m/>
    <m/>
    <m/>
    <m/>
    <n v="290"/>
    <m/>
    <m/>
  </r>
  <r>
    <s v="UNIDAD ADMINISTRATIVA ESPECIAL MIGRACIÓN COLOMBIA"/>
    <s v="900477235-6"/>
    <s v="Secop II"/>
    <n v="102"/>
    <x v="4"/>
    <s v="20233001413000004E"/>
    <s v="PCD-093-2023-64TEC"/>
    <x v="2"/>
    <x v="33"/>
    <s v="Contratación Directa"/>
    <s v="Prestación de Servicios apoyo a la gestion"/>
    <x v="10"/>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4223"/>
    <s v="C-1199-1002-10-0-1199001-02"/>
    <s v="Celebrado"/>
    <s v="En ejecución"/>
    <m/>
    <s v="CO-080-2023"/>
    <s v="Marzo"/>
    <d v="2023-03-08T00:00:00"/>
    <s v="Prestación de Servicios apoyo a la gestion"/>
    <m/>
    <s v="Regional Oriente"/>
    <s v="Cucuta"/>
    <s v="DIANA CAROLINA ORTIZ BELTRAN"/>
    <n v="1090401426"/>
    <m/>
    <s v="N/A"/>
    <s v="NO"/>
    <m/>
    <m/>
    <m/>
    <e v="#REF!"/>
    <n v="46523"/>
    <d v="2023-03-07T00:00:00"/>
    <n v="25000000"/>
    <m/>
    <m/>
    <m/>
    <n v="25000000"/>
    <s v="SI"/>
    <d v="2023-03-08T00:00:00"/>
    <s v="2 CUMPLIMIENTO"/>
    <d v="2023-03-16T00:00:00"/>
    <d v="2023-12-31T00:00:00"/>
    <n v="290"/>
    <s v="RAFAEL DARIO EUGENIO PARADA"/>
    <n v="88151663"/>
    <m/>
    <m/>
    <m/>
    <m/>
    <m/>
    <m/>
    <m/>
    <m/>
    <n v="25000000"/>
    <m/>
    <m/>
    <m/>
    <m/>
    <m/>
    <m/>
    <m/>
    <m/>
    <m/>
    <n v="290"/>
    <m/>
    <m/>
  </r>
  <r>
    <s v="UNIDAD ADMINISTRATIVA ESPECIAL MIGRACIÓN COLOMBIA"/>
    <s v="900477235-6"/>
    <s v="Secop II"/>
    <n v="103"/>
    <x v="4"/>
    <s v="20233001413000005E"/>
    <s v="PCD-092-2023-65TEC"/>
    <x v="2"/>
    <x v="34"/>
    <s v="Contratación Directa"/>
    <s v="Prestación de Servicios apoyo a la gestion"/>
    <x v="10"/>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4323"/>
    <s v="C-1199-1002-10-0-1199001-02"/>
    <s v="Celebrado"/>
    <s v="En ejecución"/>
    <m/>
    <s v="CO-079-2023"/>
    <s v="Marzo"/>
    <d v="2023-03-09T00:00:00"/>
    <s v="Prestación de Servicios apoyo a la gestion"/>
    <m/>
    <s v="Regional Oriente"/>
    <s v="Cucuta"/>
    <s v="FRANCISCO JAVIER CASTELLANOS CARDENAS"/>
    <n v="1092349877"/>
    <m/>
    <s v="N/A"/>
    <s v="NO"/>
    <m/>
    <m/>
    <m/>
    <e v="#REF!"/>
    <n v="46923"/>
    <d v="2023-03-08T00:00:00"/>
    <n v="25000000"/>
    <m/>
    <m/>
    <m/>
    <n v="25000000"/>
    <s v="SI"/>
    <d v="2023-03-10T00:00:00"/>
    <s v="2 CUMPLIMIENTO"/>
    <d v="2023-03-16T00:00:00"/>
    <d v="2023-12-31T00:00:00"/>
    <n v="290"/>
    <s v="RAFAEL DARIO EUGENIO PARADA"/>
    <n v="88151663"/>
    <m/>
    <m/>
    <m/>
    <m/>
    <m/>
    <m/>
    <m/>
    <m/>
    <n v="25000000"/>
    <m/>
    <m/>
    <m/>
    <m/>
    <m/>
    <m/>
    <m/>
    <m/>
    <m/>
    <n v="290"/>
    <m/>
    <m/>
  </r>
  <r>
    <s v="UNIDAD ADMINISTRATIVA ESPECIAL MIGRACIÓN COLOMBIA"/>
    <s v="900477235-6"/>
    <s v="Secop II"/>
    <n v="108"/>
    <x v="4"/>
    <s v="20233001413000010E"/>
    <s v="PCD-099-2023-70TEC"/>
    <x v="2"/>
    <x v="34"/>
    <s v="Contratación Directa"/>
    <s v="Prestación de Servicios apoyo a la gestion"/>
    <x v="10"/>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3723"/>
    <s v="C-1199-1002-10-0-1199001-02"/>
    <s v="Celebrado"/>
    <s v="En ejecución"/>
    <m/>
    <s v="CO-088-2023"/>
    <s v="Marzo"/>
    <d v="2023-03-10T00:00:00"/>
    <s v="Prestación de Servicios apoyo a la gestion"/>
    <m/>
    <s v="Regional Oriente"/>
    <s v="Cucuta"/>
    <s v="JESUS DAVID GUERRERO CONTRERAS"/>
    <n v="1093914971"/>
    <m/>
    <s v="N/A"/>
    <s v="NO"/>
    <m/>
    <m/>
    <m/>
    <e v="#REF!"/>
    <n v="47023"/>
    <d v="2023-03-08T00:00:00"/>
    <n v="25000000"/>
    <m/>
    <m/>
    <m/>
    <n v="25000000"/>
    <s v="SI"/>
    <d v="2023-03-14T00:00:00"/>
    <s v="2 CUMPLIMIENTO"/>
    <d v="2023-03-16T00:00:00"/>
    <d v="2023-12-31T00:00:00"/>
    <n v="290"/>
    <s v="RAFAEL DARIO EUGENIO PARADA"/>
    <n v="88151663"/>
    <m/>
    <m/>
    <m/>
    <m/>
    <m/>
    <m/>
    <m/>
    <m/>
    <n v="25000000"/>
    <m/>
    <m/>
    <m/>
    <m/>
    <m/>
    <m/>
    <m/>
    <m/>
    <m/>
    <n v="290"/>
    <m/>
    <m/>
  </r>
  <r>
    <s v="UNIDAD ADMINISTRATIVA ESPECIAL MIGRACIÓN COLOMBIA"/>
    <s v="900477235-6"/>
    <s v="Secop II"/>
    <n v="110"/>
    <x v="4"/>
    <s v="20233001413000012E"/>
    <s v="PCD-101-2023-72TEC"/>
    <x v="2"/>
    <x v="34"/>
    <s v="Contratación Directa"/>
    <s v="Prestación de Servicios apoyo a la gestion"/>
    <x v="10"/>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3523"/>
    <s v="C-1199-1002-10-0-1199001-02"/>
    <s v="Celebrado"/>
    <s v="En ejecución"/>
    <m/>
    <s v="CO-090-2023"/>
    <s v="Marzo"/>
    <d v="2023-03-09T00:00:00"/>
    <s v="Prestación de Servicios apoyo a la gestion"/>
    <m/>
    <s v="Regional Oriente"/>
    <s v="Cucuta"/>
    <s v="JAVIER HERNANDO CASTELLANOS CONTRERAS"/>
    <n v="1090481286"/>
    <m/>
    <s v="N/A"/>
    <s v="NO"/>
    <m/>
    <m/>
    <m/>
    <e v="#REF!"/>
    <n v="47223"/>
    <d v="2023-03-08T00:00:00"/>
    <n v="25000000"/>
    <m/>
    <m/>
    <m/>
    <n v="25000000"/>
    <s v="SI"/>
    <d v="2023-03-09T00:00:00"/>
    <s v="2 CUMPLIMIENTO"/>
    <d v="2023-03-15T00:00:00"/>
    <d v="2023-12-31T00:00:00"/>
    <n v="291"/>
    <s v="RAFAEL DARIO EUGENIO PARADA"/>
    <n v="88151663"/>
    <m/>
    <m/>
    <m/>
    <m/>
    <m/>
    <m/>
    <m/>
    <m/>
    <n v="25000000"/>
    <m/>
    <m/>
    <m/>
    <m/>
    <m/>
    <m/>
    <m/>
    <m/>
    <m/>
    <n v="291"/>
    <m/>
    <m/>
  </r>
  <r>
    <s v="UNIDAD ADMINISTRATIVA ESPECIAL MIGRACIÓN COLOMBIA"/>
    <s v="900477235-6"/>
    <s v="Secop II"/>
    <n v="153"/>
    <x v="2"/>
    <s v="20236231414000004E"/>
    <s v="PCD-103-2023-35SYF"/>
    <x v="2"/>
    <x v="34"/>
    <s v="Contratación Directa"/>
    <s v="Arrendamiento"/>
    <x v="3"/>
    <s v="CONTRATAR EL ARRENDAMIENTO DE CUPOS DE PARQUEADERO PARA EL PARQUE AUTOMOTOR DE LA REGIONAL EJE CAFETERO UBICADA EN LA CIUDAD DE PEREIRA"/>
    <n v="80131502"/>
    <s v="Arrendamiento de Instalaciones comerciales o industriales"/>
    <n v="25139583.5"/>
    <n v="25139583.5"/>
    <n v="25923"/>
    <s v="A-02-02-02-007-002"/>
    <s v="Celebrado"/>
    <s v="En ejecución"/>
    <m/>
    <s v="CO-100-2023"/>
    <s v="Marzo"/>
    <d v="2023-03-16T00:00:00"/>
    <s v="Arrendamiento"/>
    <m/>
    <s v="EJE CAFETERO"/>
    <s v="PEREIRA "/>
    <s v="UNIÒN TEMPORAL CITY PARKING BROKERS /: JUAN CARLOS SALAZAR SANTOS"/>
    <n v="901317464"/>
    <n v="4"/>
    <s v="N/A"/>
    <s v="NO"/>
    <m/>
    <m/>
    <s v="N/A"/>
    <s v="N/A"/>
    <n v="57023"/>
    <d v="2023-03-16T00:00:00"/>
    <n v="25139583.5"/>
    <m/>
    <m/>
    <m/>
    <n v="25139583.5"/>
    <s v="NO"/>
    <s v="N/A"/>
    <s v="N/A"/>
    <d v="2023-03-14T00:00:00"/>
    <d v="2023-12-31T00:00:00"/>
    <n v="292"/>
    <s v="ELISABETH USECHE"/>
    <n v="25166983"/>
    <m/>
    <m/>
    <m/>
    <m/>
    <m/>
    <m/>
    <m/>
    <m/>
    <n v="25139583.5"/>
    <m/>
    <m/>
    <m/>
    <m/>
    <m/>
    <m/>
    <m/>
    <m/>
    <m/>
    <n v="292"/>
    <m/>
    <m/>
  </r>
  <r>
    <s v="UNIDAD ADMINISTRATIVA ESPECIAL MIGRACIÓN COLOMBIA"/>
    <s v="900477235-6"/>
    <s v="Secop II"/>
    <n v="109"/>
    <x v="4"/>
    <s v="20233001413000011E"/>
    <s v="PCD-100-2023-71TEC"/>
    <x v="2"/>
    <x v="35"/>
    <s v="Contratación Directa"/>
    <s v="Prestación de Servicios apoyo a la gestion"/>
    <x v="10"/>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3623"/>
    <s v="C-1199-1002-10-0-1199001-02"/>
    <s v="Celebrado"/>
    <s v="En ejecución"/>
    <m/>
    <s v="CO-089-2023"/>
    <s v="Marzo"/>
    <d v="2023-03-09T00:00:00"/>
    <s v="Prestación de Servicios apoyo a la gestion"/>
    <m/>
    <s v="Regional Oriente"/>
    <s v="Cucuta"/>
    <s v="MARIA CAMILA BLANCO AYALA"/>
    <n v="1090512871"/>
    <m/>
    <s v="N/A"/>
    <s v="NO"/>
    <m/>
    <m/>
    <m/>
    <e v="#REF!"/>
    <n v="47123"/>
    <d v="2023-03-08T00:00:00"/>
    <n v="25000000"/>
    <m/>
    <m/>
    <m/>
    <n v="25000000"/>
    <s v="SI"/>
    <d v="2023-03-10T00:00:00"/>
    <s v="2 CUMPLIMIENTO"/>
    <d v="2023-03-16T00:00:00"/>
    <d v="2023-12-31T00:00:00"/>
    <n v="290"/>
    <s v="RAFAEL DARIO EUGENIO PARADA"/>
    <n v="88151663"/>
    <m/>
    <m/>
    <m/>
    <m/>
    <m/>
    <m/>
    <m/>
    <m/>
    <n v="25000000"/>
    <m/>
    <m/>
    <m/>
    <m/>
    <m/>
    <m/>
    <m/>
    <m/>
    <m/>
    <n v="290"/>
    <m/>
    <m/>
  </r>
  <r>
    <s v="UNIDAD ADMINISTRATIVA ESPECIAL MIGRACIÓN COLOMBIA"/>
    <s v="900477235-6"/>
    <s v="Secop II"/>
    <n v="120"/>
    <x v="1"/>
    <s v="20236231408000013E"/>
    <s v="SIE-005-2023"/>
    <x v="2"/>
    <x v="36"/>
    <s v="Selección Abreviada"/>
    <s v="Subasta Inversa Electrónica"/>
    <x v="18"/>
    <s v="Contratar el suministro de materiales ferroeléctricos para atender los requerimientos que en material de mantenimiento locativo presente las sedes de Migración Colombia a nivel nacional."/>
    <n v="40141700"/>
    <s v="Material de Ferretería y accesorios"/>
    <n v="220000000"/>
    <n v="220000000"/>
    <n v="23722"/>
    <s v="A-02-02-01-001-005"/>
    <s v="En tramite "/>
    <m/>
    <m/>
    <m/>
    <m/>
    <m/>
    <m/>
    <m/>
    <m/>
    <m/>
    <m/>
    <m/>
    <m/>
    <m/>
    <m/>
    <m/>
    <m/>
    <m/>
    <n v="123"/>
    <m/>
    <m/>
    <m/>
    <m/>
    <m/>
    <m/>
    <m/>
    <m/>
    <m/>
    <m/>
    <m/>
    <m/>
    <n v="0"/>
    <m/>
    <m/>
    <m/>
    <m/>
    <m/>
    <m/>
    <m/>
    <m/>
    <m/>
    <m/>
    <m/>
    <m/>
    <m/>
    <m/>
    <m/>
    <m/>
    <m/>
    <m/>
    <m/>
    <m/>
    <m/>
    <m/>
    <m/>
  </r>
  <r>
    <s v="UNIDAD ADMINISTRATIVA ESPECIAL MIGRACIÓN COLOMBIA"/>
    <s v="900477235-6"/>
    <s v="Secop II"/>
    <n v="152"/>
    <x v="3"/>
    <s v="20236231414000003E"/>
    <s v="PCD-104-2023-34SYF"/>
    <x v="2"/>
    <x v="36"/>
    <s v="Contratación Directa"/>
    <s v="Arrendamiento"/>
    <x v="18"/>
    <s v="Contratar el arrendamiento de un bien inmueble ubicado en urbanización mistares del Municipio de Cumbal, corregimiento de Chiles - Nariño con destino al funcionamiento del PCMT Chiles - Tufiño de Migración Colombia.  "/>
    <n v="80131502"/>
    <s v="Arrendamiento de Instalaciones comerciales o Industriales"/>
    <n v="16410000"/>
    <n v="14250000"/>
    <n v="25823"/>
    <s v="A-02-02-02-007-002 "/>
    <s v="Celebrado"/>
    <s v="En ejecución"/>
    <s v="N/A"/>
    <s v="CO-099-2023"/>
    <s v="Marzo"/>
    <d v="2023-03-16T00:00:00"/>
    <s v="Contrato de Arrendamiento"/>
    <m/>
    <s v="Nariño"/>
    <s v="Corregimiento de Chiles – Municipio de Cumbal "/>
    <s v="PARMÉNIDES IBARRA CÓRDOBA"/>
    <n v="98324134"/>
    <s v="N/A"/>
    <s v="N/A"/>
    <m/>
    <m/>
    <m/>
    <s v="N/A"/>
    <e v="#REF!"/>
    <n v="56923"/>
    <d v="2023-03-16T00:00:00"/>
    <n v="14250000"/>
    <m/>
    <m/>
    <m/>
    <n v="14250000"/>
    <s v="NO"/>
    <s v="N/A"/>
    <s v="N/A"/>
    <d v="2023-03-16T00:00:00"/>
    <d v="2023-12-31T00:00:00"/>
    <n v="290"/>
    <s v=" FIGUEROA RAMIREZ ANA MERCEDES"/>
    <n v="30738603"/>
    <m/>
    <m/>
    <m/>
    <m/>
    <m/>
    <m/>
    <m/>
    <m/>
    <e v="#REF!"/>
    <m/>
    <m/>
    <m/>
    <m/>
    <m/>
    <m/>
    <m/>
    <m/>
    <m/>
    <n v="290"/>
    <m/>
    <m/>
  </r>
  <r>
    <s v="UNIDAD ADMINISTRATIVA ESPECIAL MIGRACIÓN COLOMBIA"/>
    <s v="900477235-6"/>
    <s v="Secop II"/>
    <n v="99"/>
    <x v="4"/>
    <s v="20233001413000017E"/>
    <s v="PCD-087-2023-61TEC"/>
    <x v="2"/>
    <x v="36"/>
    <s v="Contratación Directa"/>
    <s v="Prestación de Servicios apoyo a la gestion"/>
    <x v="10"/>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30000000"/>
    <n v="30000000"/>
    <n v="25223"/>
    <s v="C-1199-1002-10-0-1199001-02"/>
    <s v="Celebrado"/>
    <s v="En ejecución"/>
    <m/>
    <s v="CO-076-2023"/>
    <s v="Marzo"/>
    <d v="2023-03-13T00:00:00"/>
    <s v="Prestación de Servicios Profesionales"/>
    <m/>
    <s v="Regional Oriente"/>
    <s v="Cucuta"/>
    <s v="ANDRÉS FELIPE REMOLINA OROSTEGUI"/>
    <n v="1101694114"/>
    <m/>
    <s v="N/A"/>
    <s v="NO"/>
    <m/>
    <m/>
    <m/>
    <e v="#REF!"/>
    <n v="52323"/>
    <d v="2023-03-09T00:00:00"/>
    <n v="30000000"/>
    <m/>
    <m/>
    <m/>
    <n v="30000000"/>
    <s v="SI"/>
    <d v="2023-03-13T00:00:00"/>
    <s v="2 CUMPLIMIENTO"/>
    <d v="2023-03-15T00:00:00"/>
    <d v="2023-12-31T00:00:00"/>
    <n v="291"/>
    <s v="RAFAEL DARIO EUGENIO PARADA"/>
    <n v="88151663"/>
    <m/>
    <m/>
    <m/>
    <m/>
    <m/>
    <m/>
    <m/>
    <m/>
    <n v="30000000"/>
    <m/>
    <m/>
    <m/>
    <m/>
    <m/>
    <m/>
    <m/>
    <m/>
    <m/>
    <n v="291"/>
    <m/>
    <m/>
  </r>
  <r>
    <s v="UNIDAD ADMINISTRATIVA ESPECIAL MIGRACIÓN COLOMBIA"/>
    <s v="900477235-6"/>
    <s v="Secop II"/>
    <n v="100"/>
    <x v="4"/>
    <s v="20233001413000018E"/>
    <s v="PCD-090-2023-62TEC"/>
    <x v="2"/>
    <x v="36"/>
    <s v="Contratación Directa"/>
    <s v="Prestación de Servicios apoyo a la gestion"/>
    <x v="10"/>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30000000"/>
    <n v="30000000"/>
    <n v="25023"/>
    <s v="C-1199-1002-10-0-1199001-02"/>
    <s v="Celebrado"/>
    <s v="En ejecución"/>
    <m/>
    <s v="CO-077-2023"/>
    <s v="Marzo"/>
    <d v="2023-03-13T00:00:00"/>
    <s v="Prestación de Servicios Profesionales"/>
    <m/>
    <s v="Regional Oriente"/>
    <s v="Cucuta"/>
    <s v="VIVIANA PAOLA SÁNCHEZ CAMARGO"/>
    <n v="1090416279"/>
    <m/>
    <s v="N/A"/>
    <s v="NO"/>
    <m/>
    <m/>
    <m/>
    <e v="#REF!"/>
    <n v="52523"/>
    <d v="2023-03-09T00:00:00"/>
    <n v="30000000"/>
    <m/>
    <m/>
    <m/>
    <n v="30000000"/>
    <s v="SI"/>
    <d v="2023-03-14T00:00:00"/>
    <s v="2 CUMPLIMIENTO"/>
    <d v="2023-03-16T00:00:00"/>
    <d v="2023-12-31T00:00:00"/>
    <n v="290"/>
    <s v="RAFAEL DARIO EUGENIO PARADA"/>
    <n v="88151663"/>
    <m/>
    <m/>
    <m/>
    <m/>
    <m/>
    <m/>
    <m/>
    <m/>
    <n v="30000000"/>
    <m/>
    <m/>
    <m/>
    <m/>
    <m/>
    <m/>
    <m/>
    <m/>
    <m/>
    <n v="290"/>
    <m/>
    <m/>
  </r>
  <r>
    <s v="UNIDAD ADMINISTRATIVA ESPECIAL MIGRACIÓN COLOMBIA"/>
    <s v="900477235-6"/>
    <s v="Secop II"/>
    <n v="101"/>
    <x v="4"/>
    <s v="20233001413000019E"/>
    <s v="PCD-091-2023-63TEC"/>
    <x v="2"/>
    <x v="36"/>
    <s v="Contratación Directa"/>
    <s v="Prestación de Servicios apoyo a la gestion"/>
    <x v="10"/>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30000000"/>
    <n v="30000000"/>
    <n v="25123"/>
    <s v="C-1199-1002-10-0-1199001-02"/>
    <s v="Celebrado"/>
    <s v="cancelado"/>
    <m/>
    <s v="N/A"/>
    <s v="Marzo"/>
    <s v="N/A"/>
    <s v="Prestación de Servicios Profesionales"/>
    <m/>
    <s v="Regional Oriente"/>
    <s v="Cucuta"/>
    <s v="SHARON LIZBEHT ANAYA BAUTISTA"/>
    <n v="1090504513"/>
    <m/>
    <s v="N/A"/>
    <s v="NO"/>
    <m/>
    <m/>
    <m/>
    <e v="#REF!"/>
    <n v="52623"/>
    <d v="2023-03-09T00:00:00"/>
    <n v="30000000"/>
    <m/>
    <m/>
    <m/>
    <n v="30000000"/>
    <s v="SI"/>
    <s v="N/A"/>
    <s v="N/A"/>
    <s v="N/A"/>
    <s v="N/A"/>
    <s v="N/A"/>
    <s v="RAFAEL DARIO EUGENIO PARADA"/>
    <n v="88151663"/>
    <m/>
    <m/>
    <m/>
    <m/>
    <m/>
    <m/>
    <m/>
    <m/>
    <n v="30000000"/>
    <m/>
    <m/>
    <m/>
    <m/>
    <m/>
    <m/>
    <m/>
    <m/>
    <m/>
    <s v="N/A"/>
    <m/>
    <m/>
  </r>
  <r>
    <s v="UNIDAD ADMINISTRATIVA ESPECIAL MIGRACIÓN COLOMBIA"/>
    <s v="900477235-6"/>
    <s v="Secop II"/>
    <n v="118"/>
    <x v="0"/>
    <s v="20236121415000001E"/>
    <s v="PCD-105-2023"/>
    <x v="2"/>
    <x v="37"/>
    <s v="Contratación Directa"/>
    <s v="Prestación de Servicios Profesionales "/>
    <x v="24"/>
    <s v="PRESTAR LOS SERVICIOS DE APOYO TÉCNICO A LA GESTIÓN, BRINDADO ASESORÍA DIRECTA A LA SUPERVISIÓN DEL CONTRATO DE UNIFORMES VIGENCIA 2023, ESPECÍFICAMENTE EL ACOMPAÑAMIENTO PERMANENTE EN EL PROCESO DE CONFECCIÓN, FABRICACIÓN, VERIFICACIÓN Y APROBACIÓN DE MATERIALES Y/O TEXTILES, CONTROL DE CALIDAD DE CADA UNA DE LAS PRENDAS HASTA EL RECIBO A SATISFACCIÓN DE LAS MISMAS ACORDE A LA FICHA TÉCNICA."/>
    <s v="80161504 - 80161500"/>
    <s v="Servicios de oficina - Servicios de apoyo gerencial"/>
    <n v="24000000"/>
    <n v="24000000"/>
    <n v="26723"/>
    <s v="A-02-02-02-008-003"/>
    <s v="Celebrado"/>
    <s v="En ejecución"/>
    <m/>
    <s v="CO-096-2023"/>
    <s v="Marzo"/>
    <d v="2023-03-14T00:00:00"/>
    <s v="Prestación de Servicios Profesionales "/>
    <m/>
    <s v="Nivel Central"/>
    <s v="Bogotá D.C."/>
    <s v="AZUCENA PINZON RODRIGUEZ"/>
    <n v="51727720"/>
    <s v="-"/>
    <s v="BACHILLER ACADÉMICO"/>
    <s v="NO"/>
    <s v="No es mypime"/>
    <s v="N/A"/>
    <d v="1964-08-04T00:00:00"/>
    <e v="#REF!"/>
    <n v="56723"/>
    <d v="2023-03-16T00:00:00"/>
    <n v="24000000"/>
    <m/>
    <m/>
    <m/>
    <n v="24000000"/>
    <s v="Si "/>
    <d v="2023-03-16T00:00:00"/>
    <s v="2 CUMPLIMIENTO"/>
    <d v="2023-03-17T00:00:00"/>
    <d v="2023-10-17T00:00:00"/>
    <n v="214"/>
    <s v="ROSA MARÍA MARTÍNEZ GONZÁLEZ"/>
    <n v="51832657"/>
    <m/>
    <m/>
    <m/>
    <m/>
    <m/>
    <m/>
    <m/>
    <m/>
    <e v="#REF!"/>
    <m/>
    <m/>
    <m/>
    <m/>
    <m/>
    <m/>
    <m/>
    <m/>
    <m/>
    <n v="214"/>
    <m/>
    <m/>
  </r>
  <r>
    <s v="UNIDAD ADMINISTRATIVA ESPECIAL MIGRACIÓN COLOMBIA"/>
    <s v="900477235-6"/>
    <s v="Secop II"/>
    <n v="191"/>
    <x v="0"/>
    <s v="20236231408000010E"/>
    <s v="SIE-006-2023-73SYF"/>
    <x v="2"/>
    <x v="37"/>
    <s v="Subasta Inversa"/>
    <s v="Prestación de Servicios Profesionales "/>
    <x v="3"/>
    <s v="SERVICIO DE IMPRESIÓN, FOTOCOPIADO Y ESCÁNER DE DOCUMENTOS, MEDIANTE EL SISTEMA DE LA FIGURA DE OUTSOURCING, DE ACUERDO CON EL CUADRO DE CANTIDADES DE LAS ESPECIFICACIONES TÉCNICAS EN LAS SEDES PREVISTAS EN LA UNIDAD ADMINISTRATIVA ESPECIAL DE MIGRACIÓN COLOMBIA"/>
    <s v="82121500;82121503;82121701;82121702;80161801 "/>
    <s v="Impresión - Impresión digital - Servicios de copias en blanco y negro o de cotejo - Servicios de copias a color o de cotejo - Servicio de alquiler o leasing de fotocopiadoras"/>
    <n v="70000000"/>
    <n v="70000000"/>
    <n v="20723"/>
    <s v="A-02-02-02-008-009"/>
    <s v="En trámite"/>
    <s v="N/A"/>
    <m/>
    <m/>
    <m/>
    <m/>
    <m/>
    <m/>
    <m/>
    <m/>
    <m/>
    <m/>
    <m/>
    <m/>
    <m/>
    <m/>
    <m/>
    <m/>
    <e v="#REF!"/>
    <m/>
    <m/>
    <m/>
    <m/>
    <m/>
    <m/>
    <m/>
    <m/>
    <m/>
    <m/>
    <m/>
    <m/>
    <n v="0"/>
    <m/>
    <m/>
    <m/>
    <m/>
    <m/>
    <m/>
    <m/>
    <m/>
    <m/>
    <m/>
    <m/>
    <m/>
    <m/>
    <m/>
    <m/>
    <m/>
    <m/>
    <m/>
    <m/>
    <m/>
    <n v="0"/>
    <m/>
    <m/>
  </r>
  <r>
    <s v="UNIDAD ADMINISTRATIVA ESPECIAL MIGRACIÓN COLOMBIA"/>
    <s v="900477235-6"/>
    <s v="TVEC"/>
    <n v="139"/>
    <x v="2"/>
    <s v="20236211410000005E"/>
    <n v="146163"/>
    <x v="2"/>
    <x v="37"/>
    <s v="minima cuantia"/>
    <s v="orden de compra "/>
    <x v="23"/>
    <s v="R13 CONTRATAR EL SERVICIO INTEGRAL DE ASEO Y CAFETERIA PARA LAS SEDES DE: SEDE 1: CFSM LETICIA, SEDE 2: PCMA AEROPUERTO INTERNACIONAL ALFREDO VASQUEZ COBO, SEDE 3: PCM BALSA MIGRATORIA LETICIA, REGION 13 DE LA UNIDAD ADMINISTRATIVA ESPECIAL MIGRACIÓN COLOMBIA."/>
    <n v="76111501"/>
    <s v="Servicios de limpieza y mantenimiento de edificios generales y de oficinas "/>
    <n v="78950587"/>
    <n v="78950587"/>
    <n v="28623"/>
    <s v="A-02-02-02-006-003"/>
    <s v="Celebrado"/>
    <s v="En ejecución"/>
    <m/>
    <s v="107284"/>
    <s v="ABRIL "/>
    <d v="2023-04-03T00:00:00"/>
    <s v="Prestación de Servicios de apoyo a la Gestion "/>
    <m/>
    <s v="amazonas"/>
    <m/>
    <s v="CONSERJES INMOBILIARIOS"/>
    <n v="800093388"/>
    <n v="2"/>
    <s v="N/A"/>
    <m/>
    <m/>
    <m/>
    <s v="N/A"/>
    <s v="N/A"/>
    <n v="66323"/>
    <d v="2023-04-05T00:00:00"/>
    <n v="78950587.099999994"/>
    <m/>
    <m/>
    <m/>
    <n v="78950587.099999994"/>
    <s v="SI"/>
    <d v="2023-04-05T00:00:00"/>
    <s v="2 CUMPLIMIENTO"/>
    <d v="2023-04-03T00:00:00"/>
    <d v="2023-12-31T00:00:00"/>
    <n v="272"/>
    <s v="DIANA VICENTA CAMARGO"/>
    <n v="41057375"/>
    <m/>
    <m/>
    <m/>
    <m/>
    <m/>
    <m/>
    <m/>
    <m/>
    <n v="78950587.099999994"/>
    <m/>
    <m/>
    <m/>
    <m/>
    <m/>
    <m/>
    <m/>
    <m/>
    <m/>
    <n v="272"/>
    <m/>
    <m/>
  </r>
  <r>
    <s v="UNIDAD ADMINISTRATIVA ESPECIAL MIGRACIÓN COLOMBIA"/>
    <s v="900477235-6"/>
    <s v="TVEC"/>
    <n v="131"/>
    <x v="2"/>
    <s v="20236211410000003E"/>
    <n v="146169"/>
    <x v="2"/>
    <x v="37"/>
    <s v="minima cuantia"/>
    <s v="orden de compra "/>
    <x v="23"/>
    <s v="R10 CONTRATAR EL SERVICIO INTEGRAL DE ASEO Y CAFETERÍA PARA LA SEDE DE VILLAVICENCIO REGIÓN 10 DE LA UNIDAD ADMINISTRATIVA ESPECIAL MIGRACIÓN COLOMBIA"/>
    <n v="76111501"/>
    <s v="Servicios de limpieza y mantenimiento de edificios generales y de oficinas "/>
    <n v="24527659"/>
    <n v="24527659"/>
    <n v="28623"/>
    <s v="A-02-02-02-006-003"/>
    <s v="Celebrado"/>
    <s v="En ejecución"/>
    <m/>
    <s v="107282"/>
    <s v="ABRIL "/>
    <d v="2023-04-03T00:00:00"/>
    <s v="Prestación de Servicios de apoyo a la Gestion "/>
    <m/>
    <s v="villavicencio"/>
    <m/>
    <s v="UNION TEMPORAL SERTOP "/>
    <n v="901677370"/>
    <n v="4"/>
    <s v="N/A"/>
    <m/>
    <m/>
    <m/>
    <s v="N/A"/>
    <s v="N/A"/>
    <n v="66623"/>
    <d v="2023-04-05T00:00:00"/>
    <n v="23525852.359999999"/>
    <m/>
    <m/>
    <m/>
    <n v="23525852.359999999"/>
    <s v="SI"/>
    <d v="2023-04-14T00:00:00"/>
    <s v="2 CUMPLIMIENTO"/>
    <d v="2023-04-03T00:00:00"/>
    <d v="2023-12-31T00:00:00"/>
    <n v="272"/>
    <s v="MIGUEL ANGEL LUNA  CASTRO"/>
    <n v="17586972"/>
    <m/>
    <m/>
    <m/>
    <m/>
    <m/>
    <m/>
    <m/>
    <m/>
    <n v="23525852.359999999"/>
    <m/>
    <m/>
    <m/>
    <m/>
    <m/>
    <m/>
    <m/>
    <m/>
    <m/>
    <n v="272"/>
    <m/>
    <m/>
  </r>
  <r>
    <s v="UNIDAD ADMINISTRATIVA ESPECIAL MIGRACIÓN COLOMBIA"/>
    <s v="900477235-6"/>
    <s v="TVEC"/>
    <n v="133"/>
    <x v="2"/>
    <s v=" 20236211410000001E"/>
    <n v="146124"/>
    <x v="2"/>
    <x v="37"/>
    <s v="minima cuantia"/>
    <s v="orden de compra "/>
    <x v="23"/>
    <s v="R3 CONTRATAR EL SERVICIO INTEGRAL DE ASEO Y CAFETERIA PARA LAS SEDES: SEDE 1: SEDE PRINCIPAL REGIONAL ANTIOQUIA, SEDE 2: PCM AEROPUERTO RIO NEGRO, SEDE 3: PCM TURBO, SEDE 4: PCM CAPURGANÁ, SEDE 5: PCM JURADO, SEDE 6: PVM NECOCLÍ, DE LA REGION 3 DE LA UNIDAD ADMINISTRATIVA ESPECIAL MIGRACIÓN COLOMBIA"/>
    <n v="76111501"/>
    <s v="Servicios de limpieza y mantenimiento de edificios generales y de oficinas "/>
    <n v="152449229"/>
    <n v="152449229"/>
    <n v="28623"/>
    <s v="A-02-02-02-006-003"/>
    <s v="Celebrado"/>
    <s v="En ejecución"/>
    <m/>
    <s v="107281"/>
    <s v="ABRIL "/>
    <d v="2023-04-03T00:00:00"/>
    <s v="Prestación de Servicios de apoyo a la Gestion "/>
    <m/>
    <s v="Regional Antioquia"/>
    <s v="Medellin"/>
    <s v="UNION TEMPORAL SERTOP "/>
    <n v="901677370"/>
    <n v="4"/>
    <s v="N/A"/>
    <m/>
    <m/>
    <m/>
    <s v="N/A"/>
    <s v="N/A"/>
    <n v="66523"/>
    <d v="2023-04-03T00:00:00"/>
    <n v="144975089.46000001"/>
    <m/>
    <m/>
    <m/>
    <n v="144975089.46000001"/>
    <s v="SI"/>
    <d v="2023-04-10T00:00:00"/>
    <s v="2 CUMPLIMIENTO"/>
    <d v="2023-04-03T00:00:00"/>
    <d v="2023-12-31T00:00:00"/>
    <n v="272"/>
    <s v="TANIA DE CARMEN MORALES"/>
    <n v="67026330"/>
    <m/>
    <m/>
    <m/>
    <m/>
    <m/>
    <m/>
    <m/>
    <m/>
    <n v="144975089.46000001"/>
    <m/>
    <m/>
    <m/>
    <m/>
    <m/>
    <m/>
    <m/>
    <m/>
    <m/>
    <n v="272"/>
    <m/>
    <m/>
  </r>
  <r>
    <s v="UNIDAD ADMINISTRATIVA ESPECIAL MIGRACIÓN COLOMBIA"/>
    <s v="900477235-6"/>
    <s v="TVEC"/>
    <n v="132"/>
    <x v="2"/>
    <s v="20236211410000002E"/>
    <n v="146167"/>
    <x v="2"/>
    <x v="37"/>
    <s v="minima cuantia"/>
    <s v="orden de compra "/>
    <x v="23"/>
    <s v="R4 CONTRATAR EL SERVICIO INTEGRAL DE ASEO Y CAFETERIA PARA LA SEDE DE ARMENIA, PEREIRA, EL EDÉN (LA TEBAIDA) Y MANIZALES. REGION 4 DE LA UNIDAD ADMINISTRATIVA ESPECIAL MIGRACIÓN COLOMBIA"/>
    <n v="76111501"/>
    <s v="Servicios de limpieza y mantenimiento de edificios generales y de oficinas "/>
    <n v="90896788"/>
    <n v="90896788"/>
    <n v="28623"/>
    <s v="A-02-02-02-006-003"/>
    <s v="Celebrado"/>
    <s v="En ejecución"/>
    <m/>
    <n v="108075"/>
    <s v="ABRIL "/>
    <d v="2023-04-20T00:00:00"/>
    <s v="Prestación de Servicios de apoyo a la Gestion "/>
    <m/>
    <s v="Regional Eje Cafetero"/>
    <s v="Armenia"/>
    <s v="UNION TEMPORAL SERTOP "/>
    <n v="901677370"/>
    <m/>
    <s v="N/A"/>
    <m/>
    <m/>
    <m/>
    <s v="N/A"/>
    <s v="N/A"/>
    <n v="75023"/>
    <d v="2023-04-21T00:00:00"/>
    <n v="87025363.060000002"/>
    <m/>
    <m/>
    <m/>
    <n v="87025363.060000002"/>
    <s v="SI"/>
    <s v="PENDIENTE"/>
    <s v="2 CUMPLIMIENTO"/>
    <d v="2023-04-20T00:00:00"/>
    <d v="2023-12-31T00:00:00"/>
    <n v="255"/>
    <s v="ELISABETH USECHE MARIN"/>
    <n v="25166983"/>
    <m/>
    <m/>
    <m/>
    <m/>
    <m/>
    <m/>
    <m/>
    <m/>
    <n v="87025363.060000002"/>
    <m/>
    <m/>
    <m/>
    <m/>
    <m/>
    <m/>
    <m/>
    <m/>
    <m/>
    <n v="255"/>
    <m/>
    <m/>
  </r>
  <r>
    <s v="UNIDAD ADMINISTRATIVA ESPECIAL MIGRACIÓN COLOMBIA"/>
    <s v="900477235-6"/>
    <s v="TVEC"/>
    <n v="131"/>
    <x v="2"/>
    <s v="20236211410000003E"/>
    <n v="146169"/>
    <x v="2"/>
    <x v="37"/>
    <s v="minima cuantia"/>
    <s v="orden de compra "/>
    <x v="3"/>
    <s v="CONTRATAR EL SERVICIO INTEGRAL DE ASEO Y CAFETERÍA PARA LA SEDE DE VILLAVICENCIO REGIÓN 10 DE LA UNIDAD ADMINISTRATIVA ESPECIAL MIGRACIÓN COLOMBIA"/>
    <n v="76111501"/>
    <s v="Servicios de limpieza y mantenimiento de edificios generales y de oficinas "/>
    <n v="24527659"/>
    <n v="24527659"/>
    <n v="28623"/>
    <s v="A-02-02-02-006-003"/>
    <s v="En tramite "/>
    <m/>
    <m/>
    <m/>
    <m/>
    <m/>
    <m/>
    <m/>
    <m/>
    <m/>
    <m/>
    <m/>
    <m/>
    <m/>
    <m/>
    <m/>
    <m/>
    <m/>
    <m/>
    <m/>
    <m/>
    <m/>
    <m/>
    <m/>
    <m/>
    <m/>
    <m/>
    <m/>
    <m/>
    <m/>
    <m/>
    <m/>
    <m/>
    <m/>
    <m/>
    <m/>
    <m/>
    <m/>
    <m/>
    <m/>
    <m/>
    <m/>
    <n v="0"/>
    <m/>
    <m/>
    <m/>
    <m/>
    <m/>
    <m/>
    <m/>
    <m/>
    <m/>
    <m/>
    <m/>
    <m/>
  </r>
  <r>
    <s v="UNIDAD ADMINISTRATIVA ESPECIAL MIGRACIÓN COLOMBIA"/>
    <s v="900477235-6"/>
    <s v="TVEC"/>
    <n v="141"/>
    <x v="2"/>
    <s v="20236211410000006E"/>
    <n v="146165"/>
    <x v="2"/>
    <x v="37"/>
    <s v="minima cuantia"/>
    <s v="orden de compra "/>
    <x v="23"/>
    <s v="R15 CONTRATAR EL SERVICIO INTEGRAL DE ASEO Y CAFETERIA PARA LAS SEDES DE: SEDE 1: CFSM ARAUCA, SEDE 2: PCM PUENTE INTERNACIONAL JOSÉ ANTONIO PÁEZ, REGION 15 DE LA UNIDAD ADMINISTRATIVA ESPECIAL MIGRACIÓN COLOMBIA."/>
    <n v="76111501"/>
    <s v="Servicios de limpieza y mantenimiento de edificios generales y de oficinas "/>
    <n v="67610538"/>
    <n v="67610538"/>
    <n v="28623"/>
    <s v="A-02-02-02-006-003"/>
    <s v="Celebrado"/>
    <s v="En ejecución"/>
    <m/>
    <n v="107283"/>
    <s v="ABRIL "/>
    <d v="2023-04-03T00:00:00"/>
    <s v="Prestación de Servicios de apoyo a la Gestion "/>
    <m/>
    <s v="Arauca"/>
    <m/>
    <s v="CONSERJES INMOBILIARIOS"/>
    <n v="800093388"/>
    <n v="2"/>
    <s v="N/A"/>
    <m/>
    <m/>
    <m/>
    <s v="N/A"/>
    <s v="N/A"/>
    <n v="66423"/>
    <d v="2023-04-05T00:00:00"/>
    <n v="67610537.629999995"/>
    <m/>
    <m/>
    <m/>
    <n v="67610537.629999995"/>
    <s v="SI"/>
    <d v="2023-04-04T00:00:00"/>
    <s v="2 CUMPLIMIENTO"/>
    <d v="2023-04-03T00:00:00"/>
    <d v="2023-12-31T00:00:00"/>
    <n v="272"/>
    <s v="RAFAEL RICARDO ZUÑIGA"/>
    <n v="80037461"/>
    <m/>
    <m/>
    <m/>
    <m/>
    <m/>
    <m/>
    <m/>
    <m/>
    <n v="67610537.629999995"/>
    <m/>
    <m/>
    <m/>
    <m/>
    <m/>
    <m/>
    <m/>
    <m/>
    <m/>
    <n v="272"/>
    <m/>
    <m/>
  </r>
  <r>
    <s v="UNIDAD ADMINISTRATIVA ESPECIAL MIGRACIÓN COLOMBIA"/>
    <s v="900477235-6"/>
    <s v="TVEC"/>
    <n v="139"/>
    <x v="2"/>
    <s v="20236211410000005E"/>
    <n v="146163"/>
    <x v="3"/>
    <x v="38"/>
    <s v="minima cuantia"/>
    <s v="orden de compra "/>
    <x v="23"/>
    <s v="R13 CONTRATAR EL SERVICIO INTEGRAL DE ASEO Y CAFETERIA PARA LAS SEDES DE: SEDE 1: CFSM LETICIA, SEDE 2: PCMA AEROPUERTO INTERNACIONAL ALFREDO VASQUEZ COBO, SEDE 3: PCM BALSA MIGRATORIA LETICIA, REGION 13 DE LA UNIDAD ADMINISTRATIVA ESPECIAL MIGRACIÓN COLOMBIA."/>
    <n v="76111501"/>
    <s v="Servicios de limpieza y mantenimiento de edificios generales y de oficinas "/>
    <n v="78950587"/>
    <n v="78950587"/>
    <n v="28623"/>
    <s v="A-02-02-02-006-003"/>
    <s v="Celebrado"/>
    <s v="En ejecución"/>
    <m/>
    <s v="107284"/>
    <s v="ABRIL "/>
    <d v="2023-04-03T00:00:00"/>
    <s v="Prestación de Servicios de apoyo a la Gestion "/>
    <m/>
    <s v="amazonas"/>
    <m/>
    <s v="CONSERJES INMOBILIARIOS"/>
    <n v="800093388"/>
    <n v="2"/>
    <s v="N/A"/>
    <m/>
    <m/>
    <m/>
    <s v="N/A"/>
    <s v="N/A"/>
    <n v="66323"/>
    <d v="2023-04-05T00:00:00"/>
    <n v="78950587.099999994"/>
    <m/>
    <m/>
    <m/>
    <n v="78950587.099999994"/>
    <s v="SI"/>
    <d v="2023-04-05T00:00:00"/>
    <s v="2 CUMPLIMIENTO"/>
    <d v="2023-04-03T00:00:00"/>
    <d v="2023-12-31T00:00:00"/>
    <n v="272"/>
    <s v="DIANA VICENTA CAMARGO"/>
    <n v="41057375"/>
    <m/>
    <m/>
    <m/>
    <m/>
    <m/>
    <m/>
    <m/>
    <m/>
    <n v="78950587.099999994"/>
    <m/>
    <m/>
    <m/>
    <m/>
    <m/>
    <m/>
    <m/>
    <m/>
    <m/>
    <n v="272"/>
    <m/>
    <m/>
  </r>
  <r>
    <s v="UNIDAD ADMINISTRATIVA ESPECIAL MIGRACIÓN COLOMBIA"/>
    <s v="900477235-6"/>
    <s v="Secop II"/>
    <n v="282"/>
    <x v="1"/>
    <s v="20232401413000006E"/>
    <s v="PCD-107-2023"/>
    <x v="2"/>
    <x v="39"/>
    <s v="Contratación Directa"/>
    <s v="Prestación de Servicios Profesionales "/>
    <x v="14"/>
    <s v="CONTRATAR LA PRESTACIÓN DE SERVICIOS PROFESIONALES PARA EL EQUIPO DE COMUNICACIONES DE MIGRACIÓN COLOMBIA EN LA REDACCIÓN, PRODUCCIÓN GENERAL DE INFORMACIÓN, GENERACIÓN DE CONTENIDOS DIGITALES Y MULTIFORMATO, A FIN DE SER PUBLICADOS EN LOS MEDIOS VIRTUALES INSTITUCIONALES, DE ACUERDO CON LAS NECESIDADES DE LA ENTIDAD."/>
    <n v="80161504"/>
    <s v="Servicios de Gestión, Servicios Profesionales de Empresa, y Servicios Administrativos"/>
    <n v="42750000"/>
    <n v="42750000"/>
    <n v="28123"/>
    <s v="C-1199-1002-10-0-1199001-02"/>
    <s v="Celebrado"/>
    <s v="En ejecución"/>
    <m/>
    <s v="CO-103-2023"/>
    <s v="Marzo"/>
    <d v="2056-05-23T00:00:00"/>
    <s v="Prestación de Servicios Profesionales"/>
    <m/>
    <s v="Nivel Central"/>
    <s v="Bogotá D.C."/>
    <s v="DAVID LEONARDO ROMERO GARZÓN"/>
    <n v="1023910419"/>
    <m/>
    <s v="COMUNICACIÓN SOCIAL"/>
    <m/>
    <m/>
    <m/>
    <m/>
    <n v="123"/>
    <n v="57123"/>
    <d v="2023-03-17T00:00:00"/>
    <n v="42750000"/>
    <m/>
    <m/>
    <m/>
    <n v="42750000"/>
    <s v="Si "/>
    <d v="2023-03-16T00:00:00"/>
    <s v="2 CUMPLIMIENTO"/>
    <d v="2023-03-17T00:00:00"/>
    <d v="2023-12-31T00:00:00"/>
    <n v="289"/>
    <s v="MARITZA ROCÍO SERRANO VILLAMIL"/>
    <n v="393757630"/>
    <m/>
    <m/>
    <m/>
    <m/>
    <m/>
    <m/>
    <m/>
    <m/>
    <m/>
    <m/>
    <m/>
    <m/>
    <m/>
    <m/>
    <m/>
    <m/>
    <m/>
    <m/>
    <m/>
    <m/>
    <m/>
  </r>
  <r>
    <s v="UNIDAD ADMINISTRATIVA ESPECIAL MIGRACIÓN COLOMBIA"/>
    <s v="900477235-6"/>
    <s v="Secop II"/>
    <n v="273"/>
    <x v="1"/>
    <s v="20236231415000003E"/>
    <s v="PCD-106-2023"/>
    <x v="2"/>
    <x v="39"/>
    <s v="Contratación Directa"/>
    <s v="Exclusividad"/>
    <x v="18"/>
    <e v="#REF!"/>
    <e v="#REF!"/>
    <e v="#REF!"/>
    <e v="#REF!"/>
    <e v="#REF!"/>
    <e v="#REF!"/>
    <e v="#REF!"/>
    <e v="#REF!"/>
    <e v="#REF!"/>
    <e v="#REF!"/>
    <e v="#REF!"/>
    <e v="#REF!"/>
    <e v="#REF!"/>
    <e v="#REF!"/>
    <e v="#REF!"/>
    <e v="#REF!"/>
    <e v="#REF!"/>
    <e v="#REF!"/>
    <e v="#REF!"/>
    <e v="#REF!"/>
    <e v="#REF!"/>
    <e v="#REF!"/>
    <e v="#REF!"/>
    <m/>
    <m/>
    <n v="123"/>
    <m/>
    <m/>
    <m/>
    <m/>
    <m/>
    <m/>
    <m/>
    <m/>
    <m/>
    <m/>
    <m/>
    <m/>
    <m/>
    <m/>
    <m/>
    <m/>
    <m/>
    <m/>
    <m/>
    <m/>
    <m/>
    <m/>
    <m/>
    <m/>
    <m/>
    <m/>
    <m/>
    <m/>
    <m/>
    <m/>
    <m/>
    <m/>
    <m/>
    <m/>
    <m/>
    <m/>
  </r>
  <r>
    <s v="UNIDAD ADMINISTRATIVA ESPECIAL MIGRACIÓN COLOMBIA"/>
    <s v="900477235-6"/>
    <s v="TVEC"/>
    <n v="138"/>
    <x v="2"/>
    <s v="20236211410000008E"/>
    <n v="146268"/>
    <x v="3"/>
    <x v="40"/>
    <s v="minima cuantia"/>
    <s v="orden de compra "/>
    <x v="23"/>
    <s v="R12 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
    <n v="76111501"/>
    <s v="Servicios de limpieza y mantenimiento de edificios generales y de oficinas "/>
    <n v="95973449"/>
    <n v="95973449"/>
    <n v="28623"/>
    <s v="A-02-02-02-006-003"/>
    <s v="Celebrado"/>
    <s v="En ejecución"/>
    <m/>
    <s v="107605"/>
    <s v="ABRIL "/>
    <d v="2023-04-12T00:00:00"/>
    <s v="Prestación de Servicios de apoyo a la Gestion "/>
    <m/>
    <s v="San Andres y Providencia"/>
    <m/>
    <s v="LIMPIEZA INSTITUCIONAL LASU "/>
    <n v="900427788"/>
    <n v="3"/>
    <s v="N/A"/>
    <m/>
    <m/>
    <m/>
    <s v="N/A"/>
    <s v="N/A"/>
    <n v="70323"/>
    <d v="2023-04-13T00:00:00"/>
    <n v="95973448.730000004"/>
    <m/>
    <m/>
    <m/>
    <n v="95973448.730000004"/>
    <s v="SI"/>
    <d v="2023-04-21T00:00:00"/>
    <s v="2 CUMPLIMIENTO"/>
    <d v="2023-04-12T00:00:00"/>
    <d v="2023-12-31T00:00:00"/>
    <n v="263"/>
    <s v="ARLET PATRICIA VILLADIEGO"/>
    <n v="1123626271"/>
    <m/>
    <m/>
    <m/>
    <m/>
    <m/>
    <m/>
    <m/>
    <m/>
    <n v="95973448.730000004"/>
    <m/>
    <m/>
    <m/>
    <m/>
    <m/>
    <m/>
    <m/>
    <m/>
    <m/>
    <n v="263"/>
    <m/>
    <m/>
  </r>
  <r>
    <s v="UNIDAD ADMINISTRATIVA ESPECIAL MIGRACIÓN COLOMBIA"/>
    <s v="900477235-6"/>
    <s v="TVEC"/>
    <n v="138"/>
    <x v="2"/>
    <s v="20236211410000008E"/>
    <n v="146268"/>
    <x v="2"/>
    <x v="39"/>
    <s v="minima cuantia"/>
    <s v="orden de compra "/>
    <x v="3"/>
    <s v="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
    <n v="76111501"/>
    <s v="Servicios de limpieza y mantenimiento de edificios generales y de oficinas "/>
    <n v="95973449"/>
    <n v="95973449"/>
    <n v="28623"/>
    <s v="A-02-02-02-006-003"/>
    <s v="En tramite "/>
    <m/>
    <m/>
    <m/>
    <m/>
    <m/>
    <m/>
    <m/>
    <m/>
    <m/>
    <m/>
    <m/>
    <m/>
    <m/>
    <m/>
    <m/>
    <m/>
    <m/>
    <m/>
    <m/>
    <m/>
    <m/>
    <m/>
    <m/>
    <m/>
    <m/>
    <m/>
    <m/>
    <m/>
    <m/>
    <m/>
    <m/>
    <m/>
    <m/>
    <m/>
    <m/>
    <m/>
    <m/>
    <m/>
    <m/>
    <m/>
    <m/>
    <n v="0"/>
    <m/>
    <m/>
    <m/>
    <m/>
    <m/>
    <m/>
    <m/>
    <m/>
    <m/>
    <m/>
    <m/>
    <m/>
  </r>
  <r>
    <s v="UNIDAD ADMINISTRATIVA ESPECIAL MIGRACIÓN COLOMBIA"/>
    <s v="900477235-6"/>
    <s v="TVEC"/>
    <n v="136"/>
    <x v="2"/>
    <s v="20236211410000007E"/>
    <n v="146540"/>
    <x v="2"/>
    <x v="41"/>
    <s v="minima cuantia"/>
    <s v="orden de compra "/>
    <x v="23"/>
    <s v="R1 CONTRATAR EL SERVICIO INTEGRAL DE ASEO Y CAFETERIA PARA LAS SEDES DE: SANTA MARTA, RIOHACHA, MAICAO, VALLEDUPAR, Y PCM PARAGUACHON (MAICAO) REGION 1 DE LA UNIDAD ADMINISTRATIVA ESPECIAL MIGRACIÓN COLOMBIA"/>
    <n v="76111501"/>
    <s v="Servicios de limpieza y mantenimiento de edificios generales y de oficinas "/>
    <n v="175550532"/>
    <n v="175550532"/>
    <n v="28623"/>
    <s v="A-02-02-02-006-003"/>
    <s v="Celebrado"/>
    <s v="En ejecución"/>
    <m/>
    <n v="108010"/>
    <s v="ABRIL "/>
    <d v="2023-04-19T00:00:00"/>
    <s v="Prestación de Servicios de apoyo a la Gestion "/>
    <m/>
    <s v="Regional Atlantico"/>
    <s v="Santa Martha"/>
    <s v="UT OUTSOURCING GIAF"/>
    <n v="901677020"/>
    <n v="1"/>
    <s v="N/A"/>
    <m/>
    <m/>
    <m/>
    <s v="N/A"/>
    <s v="N/A"/>
    <n v="73323"/>
    <d v="2023-04-19T00:00:00"/>
    <n v="169259167.88999999"/>
    <m/>
    <m/>
    <m/>
    <n v="169259167.88999999"/>
    <s v="SI"/>
    <s v="21/04/202"/>
    <s v="2 CUMPLIMIENTO"/>
    <d v="2023-04-19T00:00:00"/>
    <d v="2023-12-31T00:00:00"/>
    <n v="256"/>
    <s v="HILAIS MILAGRO ARREDONDO"/>
    <n v="1124064259"/>
    <m/>
    <m/>
    <m/>
    <m/>
    <m/>
    <m/>
    <m/>
    <m/>
    <n v="169259167.88999999"/>
    <m/>
    <m/>
    <m/>
    <m/>
    <m/>
    <m/>
    <m/>
    <m/>
    <m/>
    <n v="256"/>
    <m/>
    <m/>
  </r>
  <r>
    <s v="UNIDAD ADMINISTRATIVA ESPECIAL MIGRACIÓN COLOMBIA"/>
    <s v="900477235-6"/>
    <s v="TVEC"/>
    <n v="143"/>
    <x v="2"/>
    <s v="20236211410000011E"/>
    <n v="146573"/>
    <x v="2"/>
    <x v="41"/>
    <s v="minima cuantia"/>
    <s v="orden de compra "/>
    <x v="23"/>
    <s v="R18 CONTRATAR EL SERVICIO INTEGRAL DE ASEO Y CAFETERIA PARA LA SEDE 1: PCM PUERTO INÍRIDA, REGION 18 DE LA UNIDAD ADMINISTRATIVA ESPECIAL MIGRACIÓN COLOMBIA"/>
    <n v="76111501"/>
    <s v="Servicios de limpieza y mantenimiento de edificios generales y de oficinas "/>
    <n v="15332899"/>
    <n v="15332899"/>
    <n v="28623"/>
    <s v="A-02-02-02-006-003"/>
    <s v="Celebrado"/>
    <s v="En ejecución"/>
    <m/>
    <s v="107466"/>
    <s v="ABRIL "/>
    <d v="2023-04-11T00:00:00"/>
    <s v="Prestación de Servicios de apoyo a la Gestion "/>
    <m/>
    <s v="pto inirida"/>
    <m/>
    <s v="LIMPIEZA INSTITUCIONAL LASU "/>
    <n v="900427788"/>
    <n v="3"/>
    <s v="N/A"/>
    <m/>
    <m/>
    <m/>
    <s v="N/A"/>
    <s v="N/A"/>
    <n v="68723"/>
    <d v="2023-04-11T00:00:00"/>
    <n v="15332898.6"/>
    <m/>
    <m/>
    <m/>
    <n v="15332898.6"/>
    <s v="SI"/>
    <d v="2023-04-19T00:00:00"/>
    <s v="2 CUMPLIMIENTO"/>
    <d v="2023-04-11T00:00:00"/>
    <d v="2023-12-31T00:00:00"/>
    <n v="264"/>
    <s v="PAMELA ANDREA GUANARE "/>
    <n v="1006453902"/>
    <m/>
    <m/>
    <m/>
    <m/>
    <m/>
    <m/>
    <m/>
    <m/>
    <n v="15332898.6"/>
    <m/>
    <m/>
    <m/>
    <m/>
    <m/>
    <m/>
    <m/>
    <m/>
    <m/>
    <n v="264"/>
    <m/>
    <m/>
  </r>
  <r>
    <s v="UNIDAD ADMINISTRATIVA ESPECIAL MIGRACIÓN COLOMBIA"/>
    <s v="900477235-6"/>
    <s v="Secop II"/>
    <n v="117"/>
    <x v="4"/>
    <s v="20236001413000005E"/>
    <s v="PCD-109-2023-3SG"/>
    <x v="2"/>
    <x v="42"/>
    <s v="Contratación Directa"/>
    <s v="Prestación de Servicios Profesionales "/>
    <x v="5"/>
    <s v="Prestación de servicios profesionales especializados _x000a_con autonomía técnica y administrativa, para el apoyo a la gestión de la Secretaría General en el seguimiento administrativo y financiero de la contratación, en especial lo relacionado con el proyecto de tecnología."/>
    <n v="80161504"/>
    <s v="Servicios de gestión y servicios profesionales de empresa, y Servicios administrativos"/>
    <n v="95000000"/>
    <n v="95000000"/>
    <n v="27923"/>
    <s v="C-1199-1002-10-0-1199001-02"/>
    <s v="Celebrado"/>
    <s v="En ejecución"/>
    <m/>
    <s v="CO-101-2023"/>
    <s v="Marzo"/>
    <d v="2023-03-17T00:00:00"/>
    <s v="Prestación de Servicios Profesionales"/>
    <m/>
    <s v="Nivel Central"/>
    <s v="Bogotá D.C."/>
    <s v="CARLOS VLADIMIR COBO RAMIREZ"/>
    <n v="19411933"/>
    <m/>
    <s v="N/A"/>
    <s v="NO"/>
    <m/>
    <m/>
    <m/>
    <e v="#REF!"/>
    <n v="57523"/>
    <d v="2023-03-17T00:00:00"/>
    <n v="95000000"/>
    <m/>
    <m/>
    <m/>
    <n v="95000000"/>
    <s v="SI"/>
    <d v="2023-03-17T00:00:00"/>
    <s v="2 CUMPLIMIENTO"/>
    <d v="2023-03-21T00:00:00"/>
    <d v="2023-12-31T00:00:00"/>
    <n v="285"/>
    <s v="RIGOBERTO NIÑO CORREDOR"/>
    <n v="79321317"/>
    <m/>
    <m/>
    <m/>
    <m/>
    <m/>
    <m/>
    <m/>
    <m/>
    <n v="95000000"/>
    <m/>
    <m/>
    <m/>
    <m/>
    <m/>
    <m/>
    <m/>
    <m/>
    <m/>
    <n v="285"/>
    <m/>
    <m/>
  </r>
  <r>
    <s v="UNIDAD ADMINISTRATIVA ESPECIAL MIGRACIÓN COLOMBIA"/>
    <s v="900477235-6"/>
    <s v="Secop II"/>
    <n v="145"/>
    <x v="3"/>
    <s v="20236231416000004E"/>
    <s v="PCD-108-2023-27SYF"/>
    <x v="2"/>
    <x v="43"/>
    <s v="Contratación Directa"/>
    <s v="Interadministrativo – Prestación de Servicios"/>
    <x v="7"/>
    <s v="Contratar la prestación de servicio de recolección, curso y entrega de correo en sus diferentes modalidades a nivel nacional e internacional y el suministro de personal para la gestión documental."/>
    <n v="78102203"/>
    <s v="Servicios postales de paqueteo y Courier."/>
    <n v="351000000"/>
    <n v="351000000"/>
    <n v="27823"/>
    <s v="A-02-02-02-006-008 "/>
    <s v="Celebrado"/>
    <s v="En ejecución"/>
    <s v="N/A"/>
    <s v="CO-107-2023"/>
    <s v="Marzo"/>
    <d v="2023-03-31T00:00:00"/>
    <s v="INTERADMINISTRATIVO"/>
    <m/>
    <s v="Nivel Central "/>
    <s v="Bogotá D.C."/>
    <s v="SERVICIOS POSTALES NACIONALES S.A.S"/>
    <n v="900062917"/>
    <n v="9"/>
    <s v="N/A"/>
    <m/>
    <s v="Grande"/>
    <m/>
    <s v="N/A"/>
    <e v="#REF!"/>
    <n v="64723"/>
    <d v="2023-04-03T00:00:00"/>
    <n v="351000000"/>
    <m/>
    <m/>
    <m/>
    <n v="351000000"/>
    <s v="NO"/>
    <s v="N/A"/>
    <s v="N/A"/>
    <d v="2023-04-03T00:00:00"/>
    <d v="2023-12-31T00:00:00"/>
    <n v="272"/>
    <s v="SERRANO BORNACELLY ILVIS PATRICIA"/>
    <n v="36551065"/>
    <m/>
    <m/>
    <m/>
    <m/>
    <m/>
    <m/>
    <m/>
    <m/>
    <e v="#REF!"/>
    <m/>
    <m/>
    <m/>
    <m/>
    <m/>
    <m/>
    <m/>
    <m/>
    <m/>
    <n v="272"/>
    <m/>
    <m/>
  </r>
  <r>
    <s v="UNIDAD ADMINISTRATIVA ESPECIAL MIGRACIÓN COLOMBIA"/>
    <s v="900477235-6"/>
    <s v="Secop II"/>
    <n v="61"/>
    <x v="4"/>
    <s v="20232501413000024E"/>
    <s v="PCD-110-2023-17TEC"/>
    <x v="2"/>
    <x v="43"/>
    <s v="Contratación Directa"/>
    <s v="Prestación de Servicios Profesionales "/>
    <x v="10"/>
    <s v="CONTRATAR LA PRESTACIÓN DE LOS SERVICIOS PROFESIONALES PARA APOYAR LA GESTIÓN _x000a_DE LA OFICINA DE TECNOLOGÍA DE LA INFORMACIÓN DE _x000a_MIGRACIÓN COLOMBIA, EN LAS ACTIVIDADES PROPIAS DEL DESARROLLO DE APLICACIONES EN LENGUAJE .NET"/>
    <s v="801116-811115-811120"/>
    <s v="Servicios de gestion  Servicios Profesionales de Empresa y Servicios Administrativos - Servicios basados en Ingeniería Investigación y Tecnología -Servicios basados en Ingeniería Investigación y Tecnología"/>
    <n v="76000000"/>
    <n v="76000000"/>
    <n v="27623"/>
    <s v="C-1199-1002-10-0-1199001-02"/>
    <s v="Celebrado"/>
    <s v="En ejecución"/>
    <m/>
    <s v="CO-102-2023"/>
    <s v="Marzo"/>
    <d v="2023-03-22T00:00:00"/>
    <s v="Prestación de Servicios Profesionales"/>
    <m/>
    <s v="Nivel Central"/>
    <s v="Bogotá D.C."/>
    <s v="WILMAR ALDEMAR CABEZAS PISCO"/>
    <n v="86062223"/>
    <m/>
    <s v="N/A"/>
    <s v="NO"/>
    <m/>
    <m/>
    <m/>
    <e v="#REF!"/>
    <n v="59723"/>
    <d v="2023-03-23T00:00:00"/>
    <n v="76000000"/>
    <m/>
    <m/>
    <m/>
    <n v="76000000"/>
    <s v="SI"/>
    <d v="2023-03-22T00:00:00"/>
    <s v="2 CUMPLIMIENTO"/>
    <d v="2023-03-17T00:00:00"/>
    <d v="2023-12-31T00:00:00"/>
    <n v="289"/>
    <s v="DIEGO EMILIO OJEDA MONCAYO"/>
    <n v="19498970"/>
    <m/>
    <m/>
    <m/>
    <m/>
    <m/>
    <m/>
    <m/>
    <m/>
    <n v="76000000"/>
    <m/>
    <m/>
    <m/>
    <m/>
    <m/>
    <m/>
    <m/>
    <m/>
    <m/>
    <n v="289"/>
    <m/>
    <m/>
  </r>
  <r>
    <s v="UNIDAD ADMINISTRATIVA ESPECIAL MIGRACIÓN COLOMBIA"/>
    <s v="900477235-6"/>
    <s v="TVEC"/>
    <n v="122"/>
    <x v="4"/>
    <s v="20236231410000005E"/>
    <n v="180076"/>
    <x v="2"/>
    <x v="43"/>
    <s v="minima cuantia-grandes superficies"/>
    <s v="compra articulos de papeleria y archivo"/>
    <x v="3"/>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Tecnologías de Información y Telecomunicaciones - Equipos de oficina, accesorios y suministros"/>
    <n v="45000000"/>
    <n v="44999707"/>
    <n v="30123"/>
    <s v="A-02-02-01-003-002 / A-02-02-01-003-005 / A-02-02-01-003-006 _x000a_/ A-02-02-01-003-008 /A-02-02-01-004-002 _x000a_/ A-02-02-01-004-005 / A-02-02-01-004-006"/>
    <s v="Celebrado"/>
    <s v="En ejecución"/>
    <m/>
    <s v="OC 106509-2023"/>
    <s v="Marzo"/>
    <d v="2023-03-21T00:00:00"/>
    <s v="minima cuantia grandes superficies"/>
    <m/>
    <s v="Nivel Central"/>
    <s v="Bogotá D.C."/>
    <s v="CENCOSUD COLOMBIA S.A."/>
    <n v="900155107"/>
    <m/>
    <s v="N/A"/>
    <s v="NO"/>
    <m/>
    <m/>
    <m/>
    <e v="#REF!"/>
    <n v="60823"/>
    <d v="2023-03-24T00:00:00"/>
    <n v="4335800"/>
    <m/>
    <m/>
    <m/>
    <n v="4335800"/>
    <s v="NO"/>
    <s v="N/A"/>
    <s v="N/A"/>
    <d v="2023-03-21T00:00:00"/>
    <d v="2023-06-17T00:00:00"/>
    <n v="88"/>
    <s v="Luz Elena Morales Alfonso"/>
    <n v="40029680"/>
    <m/>
    <m/>
    <m/>
    <m/>
    <m/>
    <m/>
    <m/>
    <m/>
    <n v="4335800"/>
    <m/>
    <m/>
    <m/>
    <m/>
    <m/>
    <m/>
    <m/>
    <m/>
    <m/>
    <n v="88"/>
    <m/>
    <m/>
  </r>
  <r>
    <s v="UNIDAD ADMINISTRATIVA ESPECIAL MIGRACIÓN COLOMBIA"/>
    <s v="900477235-6"/>
    <s v="TVEC"/>
    <n v="122"/>
    <x v="4"/>
    <s v="20236231410000006E"/>
    <n v="182971"/>
    <x v="2"/>
    <x v="43"/>
    <s v="minima cuantia-grandes superficies"/>
    <s v="compra articulos de papeleria y archivo"/>
    <x v="3"/>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Tecnologías de Información y Telecomunicaciones - Equipos de oficina, accesorios y suministros"/>
    <n v="45000000"/>
    <n v="44999707"/>
    <n v="30123"/>
    <s v="A-02-02-01-003-002 / A-02-02-01-003-005 / A-02-02-01-003-006 _x000a_/ A-02-02-01-003-008 /A-02-02-01-004-002 _x000a_/ A-02-02-01-004-005 / A-02-02-01-004-006"/>
    <s v="Celebrado"/>
    <s v="En ejecución"/>
    <m/>
    <s v="OC -106488-2023"/>
    <s v="Marzo"/>
    <d v="2023-03-21T00:00:00"/>
    <s v="minima cuantia grandes superficies"/>
    <m/>
    <s v="Nivel Central"/>
    <s v="Bogotá D.C."/>
    <s v="FERRICENTROS"/>
    <s v="800237412-1"/>
    <m/>
    <s v="N/A"/>
    <s v="NO"/>
    <m/>
    <m/>
    <m/>
    <e v="#REF!"/>
    <n v="60923"/>
    <d v="2023-03-24T00:00:00"/>
    <n v="6936000"/>
    <m/>
    <m/>
    <m/>
    <n v="6936000"/>
    <s v="NO"/>
    <s v="N/A"/>
    <s v="N/A"/>
    <d v="2023-03-21T00:00:00"/>
    <d v="2023-06-17T00:00:00"/>
    <n v="88"/>
    <s v="Luz Elena Morales Alfonso"/>
    <n v="40029680"/>
    <m/>
    <m/>
    <m/>
    <m/>
    <m/>
    <m/>
    <m/>
    <m/>
    <n v="6936000"/>
    <m/>
    <m/>
    <m/>
    <m/>
    <m/>
    <m/>
    <m/>
    <m/>
    <m/>
    <n v="88"/>
    <m/>
    <m/>
  </r>
  <r>
    <s v="UNIDAD ADMINISTRATIVA ESPECIAL MIGRACIÓN COLOMBIA"/>
    <s v="900477235-6"/>
    <s v="TVEC"/>
    <n v="140"/>
    <x v="2"/>
    <s v="20236211410000012E"/>
    <n v="146696"/>
    <x v="3"/>
    <x v="44"/>
    <s v="minima cuantia"/>
    <s v="orden de compra "/>
    <x v="23"/>
    <s v="R14 CONTRATAR EL SERVICIO INTEGRAL DE ASEO Y CAFETERIA PARA LA SEDE 1: PCM BAHÍA SOLANO, SEDE 2: CFSM QUIBDÓ, REGION 14 DE LA UNIDAD ADMINISTRATIVA ESPECIAL MIGRACIÓN COLOMBIA"/>
    <n v="76111501"/>
    <s v="Servicios de limpieza y mantenimiento de edificios generales y de oficinas "/>
    <n v="31710054"/>
    <n v="31710054"/>
    <n v="28623"/>
    <s v="A-02-02-02-006-003"/>
    <s v="Celebrado"/>
    <s v="En ejecución"/>
    <m/>
    <s v="107476"/>
    <s v="ABRIL "/>
    <d v="2023-04-11T00:00:00"/>
    <s v="Prestación de Servicios de apoyo a la Gestion "/>
    <m/>
    <s v="Choco"/>
    <m/>
    <s v="LIMPIEZA INSTITUCIONAL LASU "/>
    <n v="900427788"/>
    <n v="3"/>
    <s v="N/A"/>
    <m/>
    <m/>
    <m/>
    <s v="N/A"/>
    <s v="N/A"/>
    <n v="68823"/>
    <d v="2023-04-11T00:00:00"/>
    <n v="31710054.149999999"/>
    <m/>
    <m/>
    <m/>
    <n v="31710054.149999999"/>
    <s v="SI"/>
    <d v="2023-04-04T00:00:00"/>
    <s v="2 CUMPLIMIENTO"/>
    <d v="2023-04-11T00:00:00"/>
    <d v="2023-12-31T00:00:00"/>
    <n v="264"/>
    <s v="TANIA DE CARMEN MORALES"/>
    <n v="67026330"/>
    <m/>
    <m/>
    <m/>
    <m/>
    <m/>
    <m/>
    <m/>
    <m/>
    <n v="31710054.149999999"/>
    <m/>
    <m/>
    <m/>
    <m/>
    <m/>
    <m/>
    <m/>
    <m/>
    <m/>
    <n v="264"/>
    <m/>
    <m/>
  </r>
  <r>
    <s v="UNIDAD ADMINISTRATIVA ESPECIAL MIGRACIÓN COLOMBIA"/>
    <s v="900477235-6"/>
    <s v="Secop II"/>
    <n v="279"/>
    <x v="4"/>
    <s v="20236231407000009E"/>
    <s v="MC-007-2023"/>
    <x v="2"/>
    <x v="45"/>
    <s v="minima cuantia "/>
    <s v="aseo y cafeteria region 6"/>
    <x v="23"/>
    <s v="Contratar el servicio integral de aseo y cafetería Región 06: Sede 1: PCM Rumichaca;_x000a_ Sede 2: Pasto; Sede 3: PCM Tumaco; Sede 4: PCM_x000a_ Chiles; Sede 5: PCM San Miguel; Sede 6: PCM Mataje"/>
    <s v="76111501-90101700"/>
    <s v="servicios de aseo y limpieza- restaurantes y catering"/>
    <n v="52000000"/>
    <n v="52000000"/>
    <n v="24423"/>
    <s v="A-02-02-02-006-003"/>
    <s v="Celebrado"/>
    <s v="En ejecución"/>
    <m/>
    <s v="AO-003-2023"/>
    <s v="Marzo"/>
    <d v="2023-03-22T00:00:00"/>
    <s v="minima cuantia  "/>
    <m/>
    <s v="regional nariño"/>
    <s v="Pasto"/>
    <s v="KIOS S.A.S."/>
    <s v="900.562.598-8"/>
    <m/>
    <s v="N/A"/>
    <s v="NO"/>
    <m/>
    <m/>
    <m/>
    <e v="#REF!"/>
    <n v="59523"/>
    <d v="2023-03-23T00:00:00"/>
    <n v="52000000"/>
    <m/>
    <m/>
    <m/>
    <n v="52000000"/>
    <s v="SI"/>
    <d v="2023-03-24T00:00:00"/>
    <s v="2 CUMPLIMIENTO"/>
    <d v="2023-03-24T00:00:00"/>
    <d v="2023-04-24T00:00:00"/>
    <n v="30"/>
    <s v="Ana Mercedez Figeroa"/>
    <n v="30738603"/>
    <m/>
    <m/>
    <m/>
    <m/>
    <m/>
    <m/>
    <m/>
    <m/>
    <n v="52000000"/>
    <m/>
    <m/>
    <m/>
    <m/>
    <m/>
    <m/>
    <m/>
    <m/>
    <m/>
    <n v="30"/>
    <m/>
    <m/>
  </r>
  <r>
    <s v="UNIDAD ADMINISTRATIVA ESPECIAL MIGRACIÓN COLOMBIA"/>
    <s v="900477235-6"/>
    <s v="TVEC"/>
    <n v="122"/>
    <x v="4"/>
    <s v="20236231410000007E"/>
    <n v="182978"/>
    <x v="2"/>
    <x v="45"/>
    <s v="minima cuantia-grandes superficies"/>
    <s v="compra articulos de papeleria y archivo"/>
    <x v="3"/>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Tecnologías de Información y Telecomunicaciones - Equipos de oficina, accesorios y suministros"/>
    <n v="45000000"/>
    <n v="44999707"/>
    <n v="30123"/>
    <s v="A-02-02-01-003-002 / A-02-02-01-003-005 / A-02-02-01-003-006 _x000a_/ A-02-02-01-003-008 /A-02-02-01-004-002 _x000a_/ A-02-02-01-004-005 / A-02-02-01-004-006"/>
    <s v="Celebrado"/>
    <s v="En ejecución"/>
    <m/>
    <s v="OC-106652-2023"/>
    <s v="Marzo"/>
    <d v="2023-03-23T00:00:00"/>
    <s v="minima cuantia grandes superficies"/>
    <m/>
    <s v="Nivel Central"/>
    <s v="Bogotá D.C."/>
    <s v="PANAMERICANA LIBRERÍA Y PAPELERÍA S.A."/>
    <s v="830037946-3"/>
    <m/>
    <s v="N/A"/>
    <s v="NO"/>
    <m/>
    <m/>
    <m/>
    <e v="#REF!"/>
    <n v="61023"/>
    <d v="2023-03-24T00:00:00"/>
    <n v="2660583"/>
    <m/>
    <m/>
    <m/>
    <n v="2660583"/>
    <s v="NO"/>
    <s v="N/A"/>
    <s v="N/A"/>
    <d v="2023-03-23T00:00:00"/>
    <d v="2023-06-21T00:00:00"/>
    <n v="90"/>
    <s v="Luz Elena Morales Alfonso"/>
    <n v="40029680"/>
    <m/>
    <m/>
    <m/>
    <m/>
    <m/>
    <m/>
    <m/>
    <m/>
    <n v="2660583"/>
    <m/>
    <m/>
    <m/>
    <m/>
    <m/>
    <m/>
    <m/>
    <m/>
    <m/>
    <n v="90"/>
    <m/>
    <m/>
  </r>
  <r>
    <s v="UNIDAD ADMINISTRATIVA ESPECIAL MIGRACIÓN COLOMBIA"/>
    <s v="900477235-6"/>
    <s v="Secop II"/>
    <n v="279"/>
    <x v="4"/>
    <s v="20236231407000009E"/>
    <s v="MC-007-2023"/>
    <x v="2"/>
    <x v="45"/>
    <s v="minima cuantia "/>
    <s v="aseo y cafeteria region 6"/>
    <x v="23"/>
    <s v="Contratar el servicio integral de aseo y cafetería Región 06: Sede 1: PCM Rumichaca;_x000a_ Sede 2: Pasto; Sede 3: PCM Tumaco; Sede 4: PCM_x000a_ Chiles; Sede 5: PCM San Miguel; Sede 6: PCM Mataje"/>
    <s v="76111501-90101700"/>
    <s v="servicios de aseo y limpieza- restaurantes y catering"/>
    <n v="52000000"/>
    <n v="52000000"/>
    <n v="24423"/>
    <s v="A-02-02-02-006-003"/>
    <s v="Celebrado"/>
    <s v="En ejecución"/>
    <m/>
    <s v="AO-003-2023"/>
    <s v="Marzo"/>
    <d v="2023-03-22T00:00:00"/>
    <s v="minima cuantia  "/>
    <m/>
    <s v="regional nariño"/>
    <s v="Pasto"/>
    <s v="KIOS S.A.S."/>
    <s v="900.562.598-8"/>
    <m/>
    <s v="N/A"/>
    <s v="NO"/>
    <m/>
    <m/>
    <m/>
    <s v="N/A"/>
    <n v="59523"/>
    <d v="2023-03-23T00:00:00"/>
    <n v="52000000"/>
    <m/>
    <m/>
    <m/>
    <n v="52000000"/>
    <s v="SI"/>
    <d v="2023-03-24T00:00:00"/>
    <s v="2 CUMPLIMIENTO"/>
    <d v="2023-03-24T00:00:00"/>
    <d v="2023-04-24T00:00:00"/>
    <n v="30"/>
    <s v="Ana Mercedez Figueroa"/>
    <n v="30738603"/>
    <m/>
    <m/>
    <m/>
    <m/>
    <m/>
    <m/>
    <m/>
    <m/>
    <n v="52000000"/>
    <n v="28"/>
    <d v="2023-05-22T00:00:00"/>
    <d v="2023-04-21T00:00:00"/>
    <m/>
    <m/>
    <m/>
    <m/>
    <m/>
    <m/>
    <n v="58"/>
    <m/>
    <m/>
  </r>
  <r>
    <s v="UNIDAD ADMINISTRATIVA ESPECIAL MIGRACIÓN COLOMBIA"/>
    <s v="900477235-6"/>
    <s v="TVEC"/>
    <n v="129"/>
    <x v="2"/>
    <s v=" 20236211410000009E"/>
    <n v="146546"/>
    <x v="2"/>
    <x v="45"/>
    <s v="minima cuantia"/>
    <s v="orden de compra "/>
    <x v="23"/>
    <s v="R5 CONTRATAR EL SERVICIO INTEGRAL DE ASEO Y CAFETERIA PARA LAS SEDES DE POPAYÁN, BUENAVENTURA, CALI Y PALMIRA REGION 5 DE LA UNIDAD ADMINISTRATIVA ESPECIAL MIGRACIÓN COLOMBIA"/>
    <n v="76111501"/>
    <s v="Servicios de limpieza y mantenimiento de edificios generales y de oficinas "/>
    <n v="119925811"/>
    <n v="119925811"/>
    <n v="28623"/>
    <s v="A-02-02-02-006-003"/>
    <s v="Celebrado"/>
    <s v="En ejecución"/>
    <m/>
    <s v="107318"/>
    <s v="ABRIL "/>
    <d v="2023-04-04T00:00:00"/>
    <s v="Prestación de Servicios de apoyo a la Gestion "/>
    <m/>
    <s v="Regional Occidente"/>
    <s v="Cali"/>
    <s v="INTERNEGOCIOS SAS "/>
    <n v="900240753"/>
    <n v="1"/>
    <s v="N/A"/>
    <m/>
    <m/>
    <m/>
    <s v="N/A"/>
    <s v="N/A"/>
    <n v="66723"/>
    <d v="2023-04-05T00:00:00"/>
    <n v="113180028.02"/>
    <m/>
    <m/>
    <m/>
    <n v="113180028.02"/>
    <s v="SI"/>
    <d v="2023-04-20T00:00:00"/>
    <s v="2 CUMPLIMIENTO"/>
    <d v="2023-04-04T00:00:00"/>
    <d v="2023-12-31T00:00:00"/>
    <n v="271"/>
    <s v="AIDA LORENA TELLO"/>
    <n v="27082113"/>
    <m/>
    <m/>
    <m/>
    <m/>
    <m/>
    <m/>
    <m/>
    <m/>
    <n v="113180028.02"/>
    <m/>
    <m/>
    <m/>
    <m/>
    <m/>
    <m/>
    <m/>
    <m/>
    <m/>
    <n v="271"/>
    <m/>
    <m/>
  </r>
  <r>
    <s v="UNIDAD ADMINISTRATIVA ESPECIAL MIGRACIÓN COLOMBIA"/>
    <s v="900477235-6"/>
    <s v="Secop II"/>
    <n v="126"/>
    <x v="0"/>
    <s v="20236231408000009E"/>
    <s v="SIE-007-2023-8SYF"/>
    <x v="2"/>
    <x v="46"/>
    <s v="Subasta Inversa"/>
    <s v="Suministro"/>
    <x v="3"/>
    <s v="SUMINISTRO DE LLANTAS A NIVEL NACIONAL PARA EL PARQUE AUTOMOTOR DE LA UNIDAD ADMINISTRATIVA ESPECIAL MIGRACIÓN COLOMBIA"/>
    <s v="25172504;25172512"/>
    <s v="Llantas para automóviles o camionetas - Llanta de motocicleta"/>
    <n v="75000000"/>
    <n v="75000000"/>
    <n v="25523"/>
    <s v="A-02-02-01-003-006"/>
    <s v="En trámite"/>
    <s v="N/A"/>
    <m/>
    <m/>
    <m/>
    <m/>
    <m/>
    <m/>
    <m/>
    <m/>
    <m/>
    <m/>
    <m/>
    <m/>
    <m/>
    <m/>
    <m/>
    <m/>
    <e v="#REF!"/>
    <m/>
    <m/>
    <m/>
    <m/>
    <m/>
    <m/>
    <m/>
    <m/>
    <m/>
    <m/>
    <m/>
    <m/>
    <n v="0"/>
    <m/>
    <m/>
    <m/>
    <m/>
    <m/>
    <m/>
    <m/>
    <m/>
    <m/>
    <m/>
    <m/>
    <m/>
    <m/>
    <m/>
    <m/>
    <m/>
    <m/>
    <m/>
    <m/>
    <m/>
    <m/>
    <m/>
    <m/>
  </r>
  <r>
    <s v="UNIDAD ADMINISTRATIVA ESPECIAL MIGRACIÓN COLOMBIA"/>
    <s v="900477235-6"/>
    <s v="TVEC"/>
    <n v="122"/>
    <x v="4"/>
    <s v="20236231410000009E"/>
    <n v="183255"/>
    <x v="2"/>
    <x v="46"/>
    <s v="minima cuantia-grandes superficies"/>
    <s v="compra articulos de papeleria y archivo"/>
    <x v="3"/>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Tecnologías de Información y Telecomunicaciones - Equipos de oficina, accesorios y suministros"/>
    <n v="45000000"/>
    <n v="44999707"/>
    <n v="30123"/>
    <s v="A-02-02-01-003-002 / A-02-02-01-003-005 / A-02-02-01-003-006 _x000a_/ A-02-02-01-003-008 /A-02-02-01-004-002 _x000a_/ A-02-02-01-004-005 / A-02-02-01-004-006"/>
    <s v="Celebrado"/>
    <s v="En ejecución"/>
    <m/>
    <s v="OC-106654-2023"/>
    <s v="Marzo"/>
    <d v="2023-03-23T00:00:00"/>
    <s v="minima cuantia grandes superficies"/>
    <m/>
    <s v="Nivel Central"/>
    <s v="Bogotá D.C."/>
    <s v="VENEPLAST LTDA"/>
    <s v="900019737-8"/>
    <m/>
    <s v="N/A"/>
    <s v="NO"/>
    <m/>
    <m/>
    <m/>
    <e v="#REF!"/>
    <n v="61123"/>
    <d v="2023-03-24T00:00:00"/>
    <n v="3232214"/>
    <m/>
    <m/>
    <m/>
    <n v="3232214"/>
    <s v="NO"/>
    <s v="N/A"/>
    <s v="N/A"/>
    <d v="2023-03-23T00:00:00"/>
    <d v="2023-06-22T00:00:00"/>
    <n v="91"/>
    <s v="JAVIER FERNANDO TORRES BARÓN"/>
    <n v="1018409885"/>
    <m/>
    <m/>
    <m/>
    <m/>
    <m/>
    <m/>
    <m/>
    <m/>
    <n v="3232214"/>
    <m/>
    <m/>
    <m/>
    <m/>
    <m/>
    <m/>
    <m/>
    <m/>
    <m/>
    <n v="91"/>
    <m/>
    <m/>
  </r>
  <r>
    <s v="UNIDAD ADMINISTRATIVA ESPECIAL MIGRACIÓN COLOMBIA"/>
    <s v="900477235-6"/>
    <s v="TVEC"/>
    <n v="122"/>
    <x v="4"/>
    <s v="20236231410000008E"/>
    <n v="183019"/>
    <x v="2"/>
    <x v="46"/>
    <s v="minima cuantia-grandes superficies"/>
    <s v="compra articulos de papeleria y archivo"/>
    <x v="3"/>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Tecnologías de Información y Telecomunicaciones - Equipos de oficina, accesorios y suministros"/>
    <n v="45000000"/>
    <n v="44999707"/>
    <n v="30123"/>
    <s v="A-02-02-01-003-002 / A-02-02-01-003-005 / A-02-02-01-003-006 _x000a_/ A-02-02-01-003-008 /A-02-02-01-004-002 _x000a_/ A-02-02-01-004-005 / A-02-02-01-004-006"/>
    <s v="Celebrado"/>
    <s v="En ejecución"/>
    <m/>
    <s v="OC-106651-2023"/>
    <s v="Marzo"/>
    <d v="2023-03-23T00:00:00"/>
    <s v="minima cuantia grandes superficies"/>
    <m/>
    <s v="Nivel Central"/>
    <s v="Bogotá D.C."/>
    <s v=" JAIME BELTRAN URIBE - Polyflex"/>
    <n v="10125834"/>
    <m/>
    <s v="N/A"/>
    <s v="NO"/>
    <m/>
    <m/>
    <m/>
    <e v="#REF!"/>
    <n v="61923"/>
    <d v="2023-03-28T00:00:00"/>
    <n v="2945200"/>
    <m/>
    <m/>
    <m/>
    <n v="2945200"/>
    <s v="NO"/>
    <s v="N/A"/>
    <s v="N/A"/>
    <d v="2023-03-23T00:00:00"/>
    <d v="2023-06-22T00:00:00"/>
    <n v="91"/>
    <s v="JAVIER FERNANDO TORRES BARÓN"/>
    <n v="1018409885"/>
    <m/>
    <m/>
    <m/>
    <m/>
    <m/>
    <m/>
    <m/>
    <m/>
    <n v="2945200"/>
    <m/>
    <m/>
    <m/>
    <m/>
    <m/>
    <m/>
    <m/>
    <m/>
    <m/>
    <n v="91"/>
    <m/>
    <m/>
  </r>
  <r>
    <s v="UNIDAD ADMINISTRATIVA ESPECIAL MIGRACIÓN COLOMBIA"/>
    <s v="900477235-6"/>
    <s v="TVEC"/>
    <n v="266"/>
    <x v="2"/>
    <s v="20236231410000003E"/>
    <n v="146730"/>
    <x v="2"/>
    <x v="46"/>
    <s v="minima cuantia"/>
    <s v="orden de compra "/>
    <x v="21"/>
    <s v="CONTRATAR LA ADQUISICIÓN DE BOTIQUINES REQUERIDOS PARA PREVENCIÓN DE EMERGENCIAS"/>
    <n v="42171917"/>
    <s v="Estuches o bolsas o accesorios de primeros auxilios para servicios médicos de emergencia"/>
    <n v="33500000"/>
    <n v="33500000"/>
    <n v="26923"/>
    <s v="A-02-02-01-003-005"/>
    <s v="Celebrado"/>
    <s v="En ejecución"/>
    <m/>
    <n v="107641"/>
    <s v="ABRIL "/>
    <d v="2023-04-13T00:00:00"/>
    <s v="Compraventa"/>
    <m/>
    <s v="Nivel Central"/>
    <s v="Bogotá D.C."/>
    <s v="INVERSION Y HOGAR SAS"/>
    <n v="900349363"/>
    <n v="2"/>
    <s v="N/A"/>
    <s v="NO"/>
    <s v="Pequeña"/>
    <m/>
    <s v="N/A"/>
    <s v="N/A"/>
    <n v="70823"/>
    <d v="2023-04-14T00:00:00"/>
    <n v="18221815.34"/>
    <m/>
    <m/>
    <m/>
    <n v="18221815.34"/>
    <s v="SI"/>
    <d v="2023-04-14T00:00:00"/>
    <s v="2 CUMPLIMIENTO"/>
    <d v="2023-04-14T00:00:00"/>
    <d v="2023-07-12T00:00:00"/>
    <n v="89"/>
    <s v="MILADIS PADILLA"/>
    <n v="22789760"/>
    <m/>
    <m/>
    <m/>
    <m/>
    <m/>
    <m/>
    <m/>
    <m/>
    <n v="18221815.34"/>
    <m/>
    <m/>
    <m/>
    <m/>
    <m/>
    <m/>
    <m/>
    <m/>
    <m/>
    <n v="89"/>
    <m/>
    <m/>
  </r>
  <r>
    <s v="UNIDAD ADMINISTRATIVA ESPECIAL MIGRACIÓN COLOMBIA"/>
    <s v="900477235-6"/>
    <s v="TVEC"/>
    <n v="42"/>
    <x v="1"/>
    <s v="20232401410000001E"/>
    <n v="146961"/>
    <x v="2"/>
    <x v="47"/>
    <s v="Selección Abreviada"/>
    <s v="Acuerdo Marco de Precios"/>
    <x v="14"/>
    <s v="Contratar el servicio de Contact Center para cubrir los canales de comunicación y servicio a la ciudadanía, establecidos por Migración Colombia."/>
    <n v="81111811"/>
    <s v="Servicios de soporte técnico o de mesa de ayuda"/>
    <n v="4019895748"/>
    <n v="4019860837.5999999"/>
    <n v="26023"/>
    <s v="C-1199-1002-10-0-1199001-02"/>
    <s v="Celebrado"/>
    <s v="En ejecución"/>
    <m/>
    <s v="OC-107791"/>
    <s v="Abril"/>
    <d v="2023-04-17T00:00:00"/>
    <s v="Orden de Compra"/>
    <m/>
    <s v="Nivel Central"/>
    <s v="Bogotá D.C."/>
    <s v="BPM CONSULTING"/>
    <n v="900011395"/>
    <n v="6"/>
    <m/>
    <m/>
    <m/>
    <m/>
    <m/>
    <n v="123"/>
    <n v="71823"/>
    <d v="2023-04-17T00:00:00"/>
    <n v="2499999979.2199998"/>
    <m/>
    <m/>
    <m/>
    <n v="2499999979.2199998"/>
    <s v="SI"/>
    <d v="2023-04-18T00:00:00"/>
    <s v="9 CUMPLIMIENTO"/>
    <d v="2023-05-02T00:00:00"/>
    <d v="2023-12-31T00:00:00"/>
    <n v="243"/>
    <s v="LEIDY ANDREA MARTINEZ GUTIERREZ"/>
    <n v="52836662"/>
    <m/>
    <m/>
    <m/>
    <m/>
    <m/>
    <m/>
    <m/>
    <m/>
    <m/>
    <m/>
    <m/>
    <m/>
    <m/>
    <m/>
    <m/>
    <m/>
    <m/>
    <m/>
    <m/>
    <m/>
    <m/>
  </r>
  <r>
    <s v="UNIDAD ADMINISTRATIVA ESPECIAL MIGRACIÓN COLOMBIA"/>
    <s v="900477235-6"/>
    <s v="Secop II"/>
    <n v="208"/>
    <x v="3"/>
    <s v="20236211413000007E"/>
    <s v="PCD-111-2023-90SYF"/>
    <x v="2"/>
    <x v="47"/>
    <s v="Contratación Directa"/>
    <s v="Prestación de servicios Profesionales"/>
    <x v="18"/>
    <s v="Prestar los servicios profesionales con autonomía técnica y administrativa en cuanto a la gestión para el puesto de Control Migratorio fronterizo fluvial ubicado el rio Orinoco en la ciudad de Puerto Carreño, en cuanto a la obtención de los permisos ambientales requeridos y la estructuración, evaluación y supervisión técnica del proceso contractual para el cumplimiento de las medidas de compensación impuestas por la Corporación Autónoma Regional de la Orinoquía, de acuerdo con las condiciones y especificaciones técnicas descritas en los documentos, estudios previos y el contrato."/>
    <s v="77102001 - 77101501"/>
    <s v="Servicios de certificación de cumplimiento de requisitos legales"/>
    <n v="30000000"/>
    <n v="30000000"/>
    <n v="28723"/>
    <s v="C-1103-1002-2-0-1103001-02 "/>
    <s v="Celebrado"/>
    <s v="En ejecución"/>
    <s v="N/A"/>
    <s v="CO-106-2023"/>
    <s v="Marzo"/>
    <d v="2023-03-28T00:00:00"/>
    <s v="Prestación de Servicios Profesionales "/>
    <m/>
    <s v="Nivel Central "/>
    <s v="Bogotá D.C."/>
    <s v="MARTHA ISABEL CONRADO LÓPEZ"/>
    <n v="52966252"/>
    <s v="N/A"/>
    <s v="Ing. Ambiental y Sanitaria"/>
    <m/>
    <m/>
    <m/>
    <d v="1983-11-07T00:00:00"/>
    <e v="#REF!"/>
    <n v="63123"/>
    <d v="2023-03-29T00:00:00"/>
    <n v="30000000"/>
    <m/>
    <m/>
    <m/>
    <n v="30000000"/>
    <s v="SI"/>
    <d v="2023-03-31T00:00:00"/>
    <s v="2 CUMPLIMIENTO"/>
    <d v="2023-04-01T00:00:00"/>
    <d v="2023-12-31T00:00:00"/>
    <n v="274"/>
    <s v="PORRAS GARCIA JESUS ANDRES"/>
    <n v="79994053"/>
    <m/>
    <m/>
    <m/>
    <m/>
    <m/>
    <m/>
    <m/>
    <m/>
    <e v="#REF!"/>
    <m/>
    <m/>
    <m/>
    <m/>
    <m/>
    <m/>
    <m/>
    <m/>
    <m/>
    <n v="274"/>
    <m/>
    <m/>
  </r>
  <r>
    <s v="UNIDAD ADMINISTRATIVA ESPECIAL MIGRACIÓN COLOMBIA"/>
    <s v="900477235-6"/>
    <s v="TVEC"/>
    <n v="202"/>
    <x v="4"/>
    <s v="20236221410000001E"/>
    <n v="147073"/>
    <x v="2"/>
    <x v="47"/>
    <s v="minima cuantia"/>
    <s v="orden de compra "/>
    <x v="23"/>
    <s v="Adquirir certificados de firma digital de conformidad con las especificaciones de la unidad administrativa especial migración Colombia"/>
    <n v="43233200"/>
    <s v="Software de seguridad y protección"/>
    <n v="68613302.739999995"/>
    <n v="68613302.739999995"/>
    <n v="28923"/>
    <s v="C-1199-1002-8-0-1199018-02"/>
    <s v="Celebrado"/>
    <s v="En ejecución"/>
    <m/>
    <n v="107932"/>
    <s v="ABRIL "/>
    <d v="2023-04-18T00:00:00"/>
    <s v="Compraventa"/>
    <m/>
    <s v="Nivel Central"/>
    <s v="Bogotá D.C."/>
    <s v="SOCIEDAD CAMERAL DE CERTIFICACION DIGITAL CERTICAMARA S.A."/>
    <n v="830084433"/>
    <n v="7"/>
    <s v="N/A"/>
    <m/>
    <m/>
    <m/>
    <s v="N/A"/>
    <s v="N/A"/>
    <n v="73423"/>
    <d v="2023-04-20T00:00:00"/>
    <n v="3391910.55"/>
    <m/>
    <m/>
    <m/>
    <n v="3391910.55"/>
    <s v="SI"/>
    <m/>
    <s v="2 CUMPLIMIENTO"/>
    <d v="2023-04-18T00:00:00"/>
    <d v="2023-07-12T00:00:00"/>
    <n v="85"/>
    <s v="GILMER AMEZQUITA  MONROY"/>
    <n v="79717103"/>
    <m/>
    <m/>
    <m/>
    <m/>
    <m/>
    <m/>
    <m/>
    <m/>
    <n v="3391910.55"/>
    <m/>
    <m/>
    <m/>
    <m/>
    <m/>
    <m/>
    <m/>
    <m/>
    <m/>
    <n v="85"/>
    <m/>
    <m/>
  </r>
  <r>
    <s v="UNIDAD ADMINISTRATIVA ESPECIAL MIGRACIÓN COLOMBIA"/>
    <s v="900477235-6"/>
    <s v="TVEC"/>
    <n v="202"/>
    <x v="4"/>
    <s v="20236231410000022E "/>
    <n v="147076"/>
    <x v="2"/>
    <x v="47"/>
    <s v="minima cuantia-acuerdo marco"/>
    <s v="firmas digitales"/>
    <x v="3"/>
    <s v="Adquirir certificados de firma digital de conformidad_x000a_ con las especificaciones de la unidad administrativa especial migración Colombia"/>
    <n v="432332"/>
    <s v="Difusión de tecnologías de información y telecomunicaciones Software ,Software de seguridad y protección"/>
    <n v="250000000"/>
    <n v="68613302.739999995"/>
    <n v="28923"/>
    <s v="C-1199-1002-8-0-1199018-02"/>
    <s v="En tramite "/>
    <s v="N/A"/>
    <m/>
    <m/>
    <m/>
    <m/>
    <s v="minima cuantia-acuerdo marco"/>
    <m/>
    <s v="Nivel Central"/>
    <s v="Bogotá D.C."/>
    <m/>
    <m/>
    <m/>
    <s v="N/A"/>
    <s v="NO"/>
    <m/>
    <m/>
    <m/>
    <e v="#REF!"/>
    <m/>
    <m/>
    <m/>
    <m/>
    <m/>
    <m/>
    <m/>
    <m/>
    <m/>
    <m/>
    <m/>
    <m/>
    <m/>
    <m/>
    <m/>
    <m/>
    <m/>
    <m/>
    <m/>
    <m/>
    <m/>
    <m/>
    <m/>
    <m/>
    <m/>
    <m/>
    <m/>
    <m/>
    <m/>
    <m/>
    <m/>
    <m/>
    <m/>
    <m/>
    <m/>
    <m/>
  </r>
  <r>
    <s v="UNIDAD ADMINISTRATIVA ESPECIAL MIGRACIÓN COLOMBIA"/>
    <s v="900477235-6"/>
    <s v="TVEC"/>
    <n v="202"/>
    <x v="4"/>
    <s v="20236231410000018E"/>
    <n v="147076"/>
    <x v="2"/>
    <x v="47"/>
    <s v="minima cuantia"/>
    <s v="orden de compra "/>
    <x v="23"/>
    <s v="Adquirir certificados de firma digital de conformidad con las especificaciones de la unidad administrativa especial migración Colombia"/>
    <n v="43233200"/>
    <s v="Software de seguridad y protección"/>
    <n v="68613302.739999995"/>
    <n v="68613302.739999995"/>
    <n v="28923"/>
    <s v="C-1199-1002-8-0-1199018-02"/>
    <s v="Celebrado"/>
    <s v="En ejecución"/>
    <m/>
    <n v="107934"/>
    <s v="ABRIL "/>
    <d v="2023-04-18T00:00:00"/>
    <s v="Compraventa"/>
    <m/>
    <s v="Nivel Central"/>
    <s v="Bogotá D.C."/>
    <s v="GESTION DE SEGURIDAD ELECTRONICA SA"/>
    <n v="900204272"/>
    <n v="8"/>
    <s v="N/A"/>
    <m/>
    <m/>
    <m/>
    <s v="N/A"/>
    <s v="N/A"/>
    <s v=" 72923"/>
    <d v="2023-04-19T00:00:00"/>
    <n v="3821479.37"/>
    <m/>
    <m/>
    <m/>
    <n v="3821479.37"/>
    <s v="SI"/>
    <m/>
    <s v="2 CUMPLIMIENTO"/>
    <d v="2023-04-18T00:00:00"/>
    <d v="2023-07-12T00:00:00"/>
    <n v="85"/>
    <s v="SHIRLEY HERAZ DE LA OZ"/>
    <n v="55223374"/>
    <m/>
    <m/>
    <m/>
    <m/>
    <m/>
    <m/>
    <m/>
    <m/>
    <n v="3821479.37"/>
    <m/>
    <m/>
    <m/>
    <m/>
    <m/>
    <m/>
    <m/>
    <m/>
    <m/>
    <n v="85"/>
    <m/>
    <m/>
  </r>
  <r>
    <s v="UNIDAD ADMINISTRATIVA ESPECIAL MIGRACIÓN COLOMBIA"/>
    <s v="900477235-6"/>
    <s v="TVEC"/>
    <n v="202"/>
    <x v="4"/>
    <s v="20236231410000024E"/>
    <n v="147086"/>
    <x v="2"/>
    <x v="47"/>
    <s v="minima cuantia"/>
    <s v="orden de compra "/>
    <x v="23"/>
    <s v="Adquirir certificados de firma digital de conformidad con las especificaciones de la unidad administrativa especial migración Colombia"/>
    <n v="43233200"/>
    <s v="Software de seguridad y protección"/>
    <n v="68613302.739999995"/>
    <n v="68613302.739999995"/>
    <n v="28923"/>
    <s v="C-1199-1002-8-0-1199018-02"/>
    <s v="Celebrado"/>
    <s v="En ejecución"/>
    <m/>
    <n v="108173"/>
    <s v="ABRIL "/>
    <d v="2023-04-21T00:00:00"/>
    <s v="Compraventa"/>
    <m/>
    <s v="Nivel Central"/>
    <s v="Bogotá D.C."/>
    <s v="GESTION DE SEGURIDAD ELECTRONICA SA"/>
    <n v="900204272"/>
    <n v="8"/>
    <s v="N/A"/>
    <m/>
    <m/>
    <m/>
    <s v="N/A"/>
    <s v="N/A"/>
    <n v="75323"/>
    <d v="2023-04-21T00:00:00"/>
    <n v="6027350"/>
    <m/>
    <m/>
    <m/>
    <n v="6027350"/>
    <s v="SI"/>
    <m/>
    <s v="2 CUMPLIMIENTO"/>
    <d v="2023-04-21T00:00:00"/>
    <d v="2023-07-12T00:00:00"/>
    <n v="82"/>
    <s v="SHIRLEY HERAZ DE LA OZ"/>
    <n v="55223374"/>
    <m/>
    <m/>
    <m/>
    <m/>
    <m/>
    <m/>
    <m/>
    <m/>
    <n v="6027350"/>
    <m/>
    <m/>
    <m/>
    <m/>
    <m/>
    <m/>
    <m/>
    <m/>
    <m/>
    <n v="82"/>
    <m/>
    <m/>
  </r>
  <r>
    <s v="UNIDAD ADMINISTRATIVA ESPECIAL MIGRACIÓN COLOMBIA"/>
    <s v="900477235-6"/>
    <s v="TVEC"/>
    <n v="202"/>
    <x v="4"/>
    <s v="20236231410000023E"/>
    <n v="147082"/>
    <x v="2"/>
    <x v="47"/>
    <s v="minima cuantia"/>
    <s v="orden de compra "/>
    <x v="23"/>
    <s v="Adquirir certificados de firma digital de conformidad con las especificaciones de la unidad administrativa especial migración Colombia"/>
    <n v="43233200"/>
    <s v="Software de seguridad y protección"/>
    <n v="68613302.739999995"/>
    <n v="68613302.739999995"/>
    <n v="28923"/>
    <s v="C-1199-1002-8-0-1199018-02"/>
    <s v="Celebrado"/>
    <s v="En ejecución"/>
    <m/>
    <n v="108355"/>
    <s v="ABRIL "/>
    <d v="2023-04-25T00:00:00"/>
    <s v="Compraventa"/>
    <m/>
    <s v="Nivel Central"/>
    <s v="Bogotá D.C."/>
    <s v="GESTION DE SEGURIDAD ELECTRONICA SA"/>
    <n v="900204272"/>
    <n v="8"/>
    <s v="N/A"/>
    <m/>
    <m/>
    <m/>
    <s v="N/A"/>
    <s v="N/A"/>
    <n v="76823"/>
    <d v="2023-04-25T00:00:00"/>
    <n v="2871742.03"/>
    <m/>
    <m/>
    <m/>
    <n v="2871742.03"/>
    <s v="SI"/>
    <m/>
    <s v="2 CUMPLIMIENTO"/>
    <d v="2023-04-25T00:00:00"/>
    <d v="2023-07-12T00:00:00"/>
    <n v="78"/>
    <s v="YANA CRISTINA GONZALEZ "/>
    <n v="46668764"/>
    <m/>
    <m/>
    <m/>
    <m/>
    <m/>
    <m/>
    <m/>
    <m/>
    <n v="2871742.03"/>
    <m/>
    <m/>
    <m/>
    <m/>
    <m/>
    <m/>
    <m/>
    <m/>
    <m/>
    <n v="78"/>
    <m/>
    <m/>
  </r>
  <r>
    <s v="UNIDAD ADMINISTRATIVA ESPECIAL MIGRACIÓN COLOMBIA"/>
    <s v="900477235-6"/>
    <s v="TVEC"/>
    <n v="122"/>
    <x v="4"/>
    <s v="20236231410000004E"/>
    <d v="2401-01-08T00:00:00"/>
    <x v="2"/>
    <x v="48"/>
    <s v="minima cuantia"/>
    <s v="orden de compra "/>
    <x v="23"/>
    <s v="Suministro de elementos de papelería y útiles de escritorio para las sedes a nivel nacional de la Unidad Administrativa Especial Migración Colombia."/>
    <n v="14111507"/>
    <s v="Papel para Impresora o fotocopiadora"/>
    <n v="44999707"/>
    <n v="44999707"/>
    <n v="30123"/>
    <s v="A-02-02-01-003-002"/>
    <s v="Celebrado"/>
    <s v="En ejecución"/>
    <m/>
    <n v="106792"/>
    <s v="Marzo"/>
    <d v="2023-03-24T00:00:00"/>
    <s v="Compraventa"/>
    <m/>
    <s v="Nivel Central"/>
    <s v="Bogotá D.C."/>
    <s v="CAJA COLOMBIANA DE SUBSIDIO FAMILIAR COLSUBSIDIO"/>
    <n v="860007336"/>
    <n v="1"/>
    <s v="N/A"/>
    <m/>
    <m/>
    <m/>
    <m/>
    <m/>
    <n v="61523"/>
    <d v="2023-03-27T00:00:00"/>
    <n v="24889910"/>
    <m/>
    <m/>
    <m/>
    <n v="24889910"/>
    <s v="NO"/>
    <m/>
    <s v="N/A"/>
    <d v="2023-03-24T00:00:00"/>
    <d v="2023-06-22T00:00:00"/>
    <n v="90"/>
    <s v="LUZ ELENA MORALES ALFONSO"/>
    <n v="40029680"/>
    <m/>
    <m/>
    <m/>
    <m/>
    <m/>
    <m/>
    <m/>
    <n v="13700"/>
    <n v="24889910"/>
    <m/>
    <m/>
    <m/>
    <m/>
    <m/>
    <m/>
    <m/>
    <m/>
    <m/>
    <n v="90"/>
    <m/>
    <m/>
  </r>
  <r>
    <s v="UNIDAD ADMINISTRATIVA ESPECIAL MIGRACIÓN COLOMBIA"/>
    <s v="900477235-6"/>
    <s v="TVEC"/>
    <n v="268"/>
    <x v="2"/>
    <s v="20236231410000010E"/>
    <n v="101228"/>
    <x v="2"/>
    <x v="48"/>
    <s v="minima cuantia"/>
    <s v="orden de compra "/>
    <x v="21"/>
    <s v="CONTRATAR LA ADQUISICIÓN DE ELEMENTOS PARA LOS ALOJAMIENTOS DE LA ENTIDAD"/>
    <n v="56101508"/>
    <s v="Colchones o sets para dormir"/>
    <n v="52019488"/>
    <n v="52019488"/>
    <n v="26523"/>
    <s v="A-02-02-01-003-008"/>
    <s v="Celebrado"/>
    <s v="En ejecución"/>
    <m/>
    <n v="106790"/>
    <s v="Marzo"/>
    <d v="2023-03-24T00:00:00"/>
    <s v="Compraventa"/>
    <m/>
    <s v="Nivel Central"/>
    <s v="Bogotá D.C."/>
    <s v="CAJA COLOMBIANA DE SUBSIDIO FAMILIAR COLSUBSIDIO"/>
    <n v="860007336"/>
    <n v="1"/>
    <s v="N/A"/>
    <s v="NO"/>
    <m/>
    <m/>
    <s v="N/A"/>
    <s v="N/A"/>
    <n v="65523"/>
    <d v="2023-03-28T00:00:00"/>
    <n v="27991420"/>
    <m/>
    <m/>
    <m/>
    <n v="27991420"/>
    <s v="NO"/>
    <s v="N/A"/>
    <s v="N/A"/>
    <d v="2023-03-24T00:00:00"/>
    <d v="2023-04-14T00:00:00"/>
    <n v="21"/>
    <s v="MILADIS PADILLA"/>
    <n v="22789760"/>
    <m/>
    <m/>
    <m/>
    <m/>
    <m/>
    <m/>
    <m/>
    <m/>
    <n v="27991420"/>
    <n v="47"/>
    <d v="2023-05-31T00:00:00"/>
    <d v="2023-04-13T00:00:00"/>
    <m/>
    <m/>
    <m/>
    <m/>
    <m/>
    <m/>
    <n v="68"/>
    <m/>
    <m/>
  </r>
  <r>
    <s v="UNIDAD ADMINISTRATIVA ESPECIAL MIGRACIÓN COLOMBIA"/>
    <s v="900477235-6"/>
    <s v="TVEC"/>
    <n v="268"/>
    <x v="2"/>
    <s v="20236231410000014E"/>
    <n v="183369"/>
    <x v="2"/>
    <x v="48"/>
    <s v="minima cuantia"/>
    <s v="orden de compra "/>
    <x v="21"/>
    <s v="CONTRATAR LA ADQUISICIÓN DE ELEMENTOS PARA LOS ALOJAMIENTOS DE LA ENTIDAD"/>
    <n v="56101508"/>
    <s v="Colchones o sets para dormir"/>
    <n v="52019488"/>
    <n v="52019488"/>
    <n v="26523"/>
    <s v="A-02-02-01-003-008"/>
    <s v="Celebrado"/>
    <s v="En ejecución"/>
    <m/>
    <n v="106793"/>
    <s v="Marzo"/>
    <d v="2023-03-24T00:00:00"/>
    <s v="Compraventa"/>
    <m/>
    <s v="Nivel Central"/>
    <s v="Bogotá D.C."/>
    <s v="JAIME BELTRAN URIBE"/>
    <n v="10125834"/>
    <n v="1"/>
    <s v="N/A"/>
    <s v="NO"/>
    <m/>
    <m/>
    <s v="N/A"/>
    <s v="N/A"/>
    <n v="63423"/>
    <d v="2023-03-29T00:00:00"/>
    <n v="1911000"/>
    <m/>
    <m/>
    <m/>
    <n v="1911000"/>
    <s v="NO"/>
    <s v="N/A"/>
    <s v="N/A"/>
    <d v="2023-03-24T00:00:00"/>
    <d v="2023-04-14T00:00:00"/>
    <n v="21"/>
    <s v="MILADIS PADILLA"/>
    <n v="22789760"/>
    <m/>
    <m/>
    <m/>
    <m/>
    <m/>
    <m/>
    <m/>
    <m/>
    <n v="1911000"/>
    <n v="47"/>
    <d v="2023-05-31T00:00:00"/>
    <d v="2023-04-14T00:00:00"/>
    <m/>
    <m/>
    <m/>
    <m/>
    <m/>
    <m/>
    <n v="68"/>
    <m/>
    <m/>
  </r>
  <r>
    <s v="UNIDAD ADMINISTRATIVA ESPECIAL MIGRACIÓN COLOMBIA"/>
    <s v="900477235-6"/>
    <s v="TVEC"/>
    <n v="268"/>
    <x v="2"/>
    <s v="20236231410000016E"/>
    <n v="183441"/>
    <x v="2"/>
    <x v="48"/>
    <s v="minima cuantia"/>
    <s v="orden de compra "/>
    <x v="21"/>
    <s v="CONTRATAR LA ADQUISICIÓN DE ELEMENTOS PARA LOS ALOJAMIENTOS DE LA ENTIDAD"/>
    <n v="56101508"/>
    <s v="Colchones o sets para dormir"/>
    <n v="52019488"/>
    <n v="52019488"/>
    <n v="26523"/>
    <s v="A-02-02-01-003-008"/>
    <s v="Celebrado"/>
    <s v="En ejecución"/>
    <m/>
    <n v="106795"/>
    <s v="Marzo"/>
    <d v="2023-03-24T00:00:00"/>
    <s v="Compraventa"/>
    <m/>
    <s v="Nivel Central"/>
    <s v="Bogotá D.C."/>
    <s v="FERRICENTROS SAS"/>
    <n v="8002374121"/>
    <n v="1"/>
    <s v="N/A"/>
    <s v="NO"/>
    <m/>
    <m/>
    <s v="N/A"/>
    <s v="N/A"/>
    <n v="62323"/>
    <d v="2023-03-28T00:00:00"/>
    <n v="18908200"/>
    <m/>
    <m/>
    <m/>
    <n v="18908200"/>
    <s v="NO"/>
    <s v="N/A"/>
    <s v="N/A"/>
    <d v="2023-03-24T00:00:00"/>
    <d v="2023-04-14T00:00:00"/>
    <n v="21"/>
    <s v="MILADIS PADILLA"/>
    <n v="22789760"/>
    <m/>
    <m/>
    <m/>
    <m/>
    <m/>
    <m/>
    <m/>
    <m/>
    <n v="18908200"/>
    <n v="47"/>
    <d v="2023-05-31T00:00:00"/>
    <d v="2023-04-14T00:00:00"/>
    <m/>
    <m/>
    <m/>
    <m/>
    <m/>
    <m/>
    <n v="68"/>
    <m/>
    <m/>
  </r>
  <r>
    <s v="UNIDAD ADMINISTRATIVA ESPECIAL MIGRACIÓN COLOMBIA"/>
    <s v="900477235-6"/>
    <s v="TVEC"/>
    <n v="268"/>
    <x v="2"/>
    <s v="20236231410000017E"/>
    <n v="183372"/>
    <x v="2"/>
    <x v="48"/>
    <s v="minima cuantia"/>
    <s v="orden de compra "/>
    <x v="21"/>
    <s v="CONTRATAR LA ADQUISICIÓN DE ELEMENTOS PARA LOS ALOJAMIENTOS DE LA ENTIDAD"/>
    <n v="56101508"/>
    <s v="Colchones o sets para dormir"/>
    <n v="52019488"/>
    <n v="52019488"/>
    <n v="26523"/>
    <s v="A-02-02-01-003-008"/>
    <s v="Celebrado"/>
    <s v="En ejecución"/>
    <m/>
    <n v="106794"/>
    <s v="Marzo"/>
    <d v="2023-03-24T00:00:00"/>
    <s v="Compraventa"/>
    <m/>
    <s v="Nivel Central"/>
    <s v="Bogotá D.C."/>
    <s v="PROVEER INSTITUCIONAL SAS"/>
    <n v="900365660"/>
    <n v="2"/>
    <s v="N/A"/>
    <s v="NO"/>
    <m/>
    <m/>
    <s v="N/A"/>
    <s v="N/A"/>
    <n v="62723"/>
    <d v="2023-03-28T00:00:00"/>
    <n v="1393024"/>
    <m/>
    <m/>
    <m/>
    <n v="1393024"/>
    <s v="NO"/>
    <s v="N/A"/>
    <s v="N/A"/>
    <d v="2023-03-24T00:00:00"/>
    <d v="2023-04-14T00:00:00"/>
    <n v="21"/>
    <s v="MILADIS PADILLA"/>
    <n v="22789760"/>
    <m/>
    <m/>
    <m/>
    <m/>
    <m/>
    <m/>
    <m/>
    <m/>
    <n v="1393024"/>
    <n v="47"/>
    <d v="2023-05-31T00:00:00"/>
    <d v="2023-04-14T00:00:00"/>
    <m/>
    <m/>
    <m/>
    <m/>
    <m/>
    <m/>
    <n v="68"/>
    <m/>
    <m/>
  </r>
  <r>
    <s v="UNIDAD ADMINISTRATIVA ESPECIAL MIGRACIÓN COLOMBIA"/>
    <s v="900477235-6"/>
    <s v="TVEC"/>
    <n v="130"/>
    <x v="2"/>
    <s v="20236211410000014E"/>
    <n v="148295"/>
    <x v="2"/>
    <x v="48"/>
    <s v="minima cuantia"/>
    <s v="orden de compra "/>
    <x v="23"/>
    <s v="R8 CONTRATAR EL SERVICIO INTEGRAL DE ASEO Y CAFETERÍA PARA LAS SEDES TUNJA Y YOPAL REGIÓN 8 DE LA UNIDAD ADMINISTRATIVA ESPECIAL MIGRACIÓN COLOMBIA"/>
    <n v="76111501"/>
    <s v="Servicios de limpieza y mantenimiento de edificios generales y de oficinas "/>
    <n v="32196200"/>
    <n v="32196200"/>
    <n v="28623"/>
    <s v="A-02-02-02-006-003"/>
    <s v="Celebrado"/>
    <s v="En ejecución"/>
    <m/>
    <n v="108011"/>
    <s v="ABRIL "/>
    <d v="2023-04-19T00:00:00"/>
    <s v="Prestación de Servicios de apoyo a la Gestion "/>
    <m/>
    <s v="Tunja"/>
    <m/>
    <s v="UT ASEAMOS 2022 A4"/>
    <n v="901676927"/>
    <n v="1"/>
    <s v="N/A"/>
    <m/>
    <m/>
    <m/>
    <s v="N/A"/>
    <s v="N/A"/>
    <n v="73623"/>
    <d v="2023-04-20T00:00:00"/>
    <n v="29011980.52"/>
    <m/>
    <m/>
    <m/>
    <n v="29011980.52"/>
    <s v="SI"/>
    <d v="2023-04-25T00:00:00"/>
    <s v="2 CUMPLIMIENTO"/>
    <d v="2023-04-19T00:00:00"/>
    <d v="2023-12-31T00:00:00"/>
    <n v="256"/>
    <s v="CARLOS ALBERTO ARCHILA "/>
    <n v="79448817"/>
    <m/>
    <m/>
    <m/>
    <m/>
    <m/>
    <m/>
    <m/>
    <m/>
    <n v="29011980.52"/>
    <m/>
    <m/>
    <m/>
    <m/>
    <m/>
    <m/>
    <m/>
    <m/>
    <m/>
    <n v="256"/>
    <m/>
    <m/>
  </r>
  <r>
    <s v="UNIDAD ADMINISTRATIVA ESPECIAL MIGRACIÓN COLOMBIA"/>
    <s v="900477235-6"/>
    <s v="TVEC"/>
    <n v="268"/>
    <x v="2"/>
    <s v="20236231410000017E"/>
    <n v="183372"/>
    <x v="2"/>
    <x v="48"/>
    <s v="minima cuantia"/>
    <s v="orden de compra "/>
    <x v="22"/>
    <s v="CONTRATAR LA ADQUISICIÓN DE ELEMENTOS PARA LOS ALOJAMIENTOS DE LA ENTIDAD"/>
    <n v="56101508"/>
    <s v="Colchones o sets para dormir"/>
    <n v="52019488"/>
    <n v="52019488"/>
    <n v="26523"/>
    <s v="A-02-02-01-003-008"/>
    <s v="Celebrado"/>
    <s v="En ejecución"/>
    <m/>
    <n v="106794"/>
    <s v="Marzo"/>
    <d v="2023-03-24T00:00:00"/>
    <s v="Compraventa"/>
    <m/>
    <s v="Nivel Central"/>
    <s v="Bogotá D.C."/>
    <s v="PROVEER INSTITUCIONAL SAS"/>
    <n v="900365660"/>
    <n v="2"/>
    <s v="N/A"/>
    <s v="NO"/>
    <m/>
    <m/>
    <s v="N/A"/>
    <s v="N/A"/>
    <n v="62723"/>
    <d v="2023-03-28T00:00:00"/>
    <n v="1393024"/>
    <m/>
    <m/>
    <m/>
    <n v="1393024"/>
    <s v="NO"/>
    <s v="N/A"/>
    <s v="N/A"/>
    <d v="2023-03-24T00:00:00"/>
    <d v="2023-04-14T00:00:00"/>
    <n v="21"/>
    <s v="MILADIS PADILLA"/>
    <n v="22789760"/>
    <m/>
    <m/>
    <m/>
    <m/>
    <m/>
    <m/>
    <m/>
    <m/>
    <n v="1393024"/>
    <m/>
    <m/>
    <m/>
    <m/>
    <m/>
    <m/>
    <m/>
    <m/>
    <m/>
    <n v="21"/>
    <m/>
    <m/>
  </r>
  <r>
    <s v="UNIDAD ADMINISTRATIVA ESPECIAL MIGRACIÓN COLOMBIA"/>
    <s v="900477235-6"/>
    <s v="Secop II"/>
    <n v="194"/>
    <x v="3"/>
    <s v="20236231407000015E"/>
    <s v="MC-009-2023"/>
    <x v="2"/>
    <x v="49"/>
    <s v="Mínima cuantía"/>
    <m/>
    <x v="18"/>
    <s v="Contratar el suministro de combustible parque automotor y plantas eléctricas Regional Amazonas."/>
    <s v="15101505; 15101506"/>
    <s v=" Combustible diésel - Gasolina corriente"/>
    <n v="25000000"/>
    <n v="18789570"/>
    <n v="31223"/>
    <s v="A-02-02-01-003-003 "/>
    <s v="Celebrado"/>
    <s v="En ejecución"/>
    <s v="N/A"/>
    <s v="AO-008-2023"/>
    <s v="Abril"/>
    <d v="2023-04-28T00:00:00"/>
    <s v="Contrato de Suministro"/>
    <m/>
    <s v="amazonas"/>
    <s v="Leticia - Amazonas"/>
    <s v="ALBERTO LÓPEZ JIMÉNEZ"/>
    <n v="7546762"/>
    <s v="N/A"/>
    <s v="N/A"/>
    <m/>
    <m/>
    <m/>
    <s v="N/A"/>
    <s v="N/A"/>
    <m/>
    <m/>
    <m/>
    <m/>
    <m/>
    <m/>
    <m/>
    <m/>
    <m/>
    <m/>
    <m/>
    <m/>
    <n v="0"/>
    <m/>
    <m/>
    <m/>
    <m/>
    <m/>
    <m/>
    <m/>
    <m/>
    <m/>
    <m/>
    <m/>
    <m/>
    <m/>
    <m/>
    <m/>
    <m/>
    <m/>
    <m/>
    <m/>
    <m/>
    <m/>
    <m/>
    <m/>
  </r>
  <r>
    <s v="UNIDAD ADMINISTRATIVA ESPECIAL MIGRACIÓN COLOMBIA"/>
    <s v="900477235-6"/>
    <s v="TVEC"/>
    <n v="128"/>
    <x v="2"/>
    <s v="20236211410000015E"/>
    <n v="148177"/>
    <x v="2"/>
    <x v="49"/>
    <s v="minima cuantia"/>
    <s v="orden de compra "/>
    <x v="23"/>
    <s v="R11 CONTRATAR EL SERVICIO INTEGRAL DE ASEO Y CAFETERIA REGION 11: Sede 1: CFSM Calle 100 Regional Andina, Sede 2: PCM Aeropuerto Internacional El Dorado, Sede 3: Sede Nivel central Edificio Argos, sede 4: CB Normandía de la UAEMC."/>
    <n v="76111501"/>
    <s v="Servicios de limpieza y mantenimiento de edificios generales y de oficinas "/>
    <n v="406829087"/>
    <n v="406829087"/>
    <n v="28623"/>
    <s v="A-02-02-02-006-003"/>
    <s v="Celebrado"/>
    <s v="En ejecución"/>
    <m/>
    <n v="108112"/>
    <s v="ABRIL "/>
    <d v="2023-04-20T00:00:00"/>
    <s v="Prestación de Servicios de apoyo a la Gestion "/>
    <m/>
    <s v="Nivel Central"/>
    <s v="Bogotá D.C."/>
    <s v="UT OUTSOURCING GIAF"/>
    <n v="901677020"/>
    <n v="1"/>
    <s v="N/A"/>
    <m/>
    <m/>
    <m/>
    <s v="N/A"/>
    <s v="N/A"/>
    <n v="74923"/>
    <d v="2023-04-21T00:00:00"/>
    <n v="339572893.01999998"/>
    <m/>
    <m/>
    <m/>
    <n v="339572893.01999998"/>
    <s v="SI"/>
    <d v="2023-04-25T00:00:00"/>
    <s v="2 CUMPLIMIENTO"/>
    <d v="2023-04-20T00:00:00"/>
    <d v="2023-12-31T00:00:00"/>
    <n v="255"/>
    <s v="JOHANA OVIEDO MOLANO"/>
    <n v="52199365"/>
    <m/>
    <m/>
    <m/>
    <m/>
    <m/>
    <m/>
    <m/>
    <m/>
    <n v="339572893.01999998"/>
    <m/>
    <m/>
    <m/>
    <m/>
    <m/>
    <m/>
    <m/>
    <m/>
    <m/>
    <n v="255"/>
    <m/>
    <m/>
  </r>
  <r>
    <s v="UNIDAD ADMINISTRATIVA ESPECIAL MIGRACIÓN COLOMBIA"/>
    <s v="900477235-6"/>
    <s v="Secop II"/>
    <n v="39"/>
    <x v="5"/>
    <s v="20236231415000013E"/>
    <s v="PCD-112-2023-13COM"/>
    <x v="2"/>
    <x v="50"/>
    <s v="Contratación Directa"/>
    <s v="Exclusividad"/>
    <x v="14"/>
    <s v="CONTRATAR LA SUSCRIPCION A LA REVISTA SEMANA CON DESTINO A LA OFICINA DE COMUNICACIONES DE MIGRACION COLOMBIA"/>
    <n v="82111904"/>
    <s v="Servicios de entrega de periódicos o material publicitario"/>
    <n v="950000"/>
    <n v="838000"/>
    <n v="30023"/>
    <s v="A-02-02-01-003-002"/>
    <s v="Celebrado"/>
    <s v="En ejecución "/>
    <m/>
    <s v="CO-111-2023"/>
    <s v="ABRIL "/>
    <d v="2023-04-19T00:00:00"/>
    <s v="Contrato Electrónico de Sucripción "/>
    <m/>
    <s v="Nivel Central"/>
    <s v="Calle 24A No 59 - 42 Edificio Argos"/>
    <s v="PUBLICACIONES SEMANA S.A."/>
    <s v="860.509.256-1"/>
    <m/>
    <m/>
    <m/>
    <m/>
    <m/>
    <m/>
    <m/>
    <n v="74823"/>
    <d v="2023-04-21T00:00:00"/>
    <n v="838000"/>
    <m/>
    <m/>
    <m/>
    <n v="838000"/>
    <s v="NO"/>
    <m/>
    <m/>
    <d v="2023-04-15T00:00:00"/>
    <d v="2024-04-15T00:00:00"/>
    <n v="366"/>
    <s v="MARITZA ROCIO SERRANO VILLAMIL"/>
    <n v="393757630"/>
    <m/>
    <m/>
    <m/>
    <m/>
    <m/>
    <m/>
    <m/>
    <m/>
    <n v="838000"/>
    <m/>
    <m/>
    <m/>
    <m/>
    <m/>
    <m/>
    <m/>
    <m/>
    <m/>
    <m/>
    <m/>
    <m/>
  </r>
  <r>
    <s v="UNIDAD ADMINISTRATIVA ESPECIAL MIGRACIÓN COLOMBIA"/>
    <s v="900477235-6"/>
    <s v="Secop II"/>
    <n v="258"/>
    <x v="0"/>
    <s v="20236231408000024E"/>
    <s v="SIE-009-2023-19TH"/>
    <x v="2"/>
    <x v="50"/>
    <s v="Subasta Inversa"/>
    <s v="Compraventa"/>
    <x v="24"/>
    <s v="CONTRATAR LA ADQUISICIÓN DE SILLAS PARA LOS FUNCIONARIOS DE MIGRACIÓN COLOMBIA "/>
    <s v="56101522;56112104"/>
    <s v="Sillas de brazos - Sillas para ejecutivos"/>
    <n v="110000000"/>
    <n v="110000000"/>
    <n v="29923"/>
    <s v="A-02-01-01-003-008"/>
    <s v="En trámite"/>
    <s v="N/A"/>
    <m/>
    <m/>
    <m/>
    <m/>
    <m/>
    <m/>
    <m/>
    <m/>
    <m/>
    <m/>
    <m/>
    <m/>
    <m/>
    <m/>
    <m/>
    <m/>
    <e v="#REF!"/>
    <m/>
    <m/>
    <m/>
    <m/>
    <m/>
    <m/>
    <m/>
    <m/>
    <m/>
    <m/>
    <m/>
    <m/>
    <n v="0"/>
    <m/>
    <m/>
    <m/>
    <m/>
    <m/>
    <m/>
    <m/>
    <m/>
    <m/>
    <m/>
    <m/>
    <m/>
    <m/>
    <m/>
    <m/>
    <m/>
    <m/>
    <m/>
    <m/>
    <m/>
    <m/>
    <m/>
    <m/>
  </r>
  <r>
    <s v="UNIDAD ADMINISTRATIVA ESPECIAL MIGRACIÓN COLOMBIA"/>
    <s v="900477235-6"/>
    <s v="Secop II"/>
    <n v="79"/>
    <x v="3"/>
    <s v="20236231408000016E"/>
    <s v="SIE-008-2023"/>
    <x v="2"/>
    <x v="50"/>
    <s v="Selección abreviada "/>
    <s v="Subasta Inversa Electrónica"/>
    <x v="25"/>
    <s v="Adquirir equipos de conectividad y la extensión de garantía de Smar Net del fabricante para los equipos Cisco de acuerdo con las especificaciones técnicas requeridas por la Unidad Administrativa Especial Migración Colombia."/>
    <s v="72103300; 81111800; 32151900; 43221700; 43221800; 43222600"/>
    <s v="Dispositivos de automatización de control de la conectividad"/>
    <n v="433440000"/>
    <n v="432832203"/>
    <n v="27523"/>
    <s v="C-1199-1002-10-0-1199001-02 "/>
    <s v="En trámite"/>
    <m/>
    <m/>
    <m/>
    <m/>
    <m/>
    <m/>
    <m/>
    <m/>
    <m/>
    <m/>
    <m/>
    <m/>
    <m/>
    <m/>
    <m/>
    <m/>
    <m/>
    <e v="#REF!"/>
    <m/>
    <m/>
    <m/>
    <m/>
    <m/>
    <m/>
    <m/>
    <m/>
    <m/>
    <m/>
    <m/>
    <m/>
    <n v="0"/>
    <m/>
    <m/>
    <m/>
    <m/>
    <m/>
    <m/>
    <m/>
    <m/>
    <m/>
    <m/>
    <m/>
    <m/>
    <m/>
    <m/>
    <m/>
    <m/>
    <m/>
    <m/>
    <m/>
    <m/>
    <m/>
    <m/>
    <m/>
  </r>
  <r>
    <s v="UNIDAD ADMINISTRATIVA ESPECIAL MIGRACIÓN COLOMBIA"/>
    <s v="900477235-6"/>
    <s v="Secop II"/>
    <s v="252 "/>
    <x v="3"/>
    <s v="20236231416000005E"/>
    <s v="PCD-113-2023-13TH"/>
    <x v="2"/>
    <x v="50"/>
    <s v="Contratación Directa"/>
    <s v="Interadministrativo – Prestación de Servicios"/>
    <x v="26"/>
    <s v="Contratar la prestación de servicio de transporte aéreo de pasajeros en rutas operadas por SATENA y en las rutas nacionales e internacionales de otros operadores, para funcionarios y contratistas, así como para la atención de desplazamientos de deportados y/o expulsados."/>
    <n v="90121502"/>
    <s v="Agencias de Viajes"/>
    <n v="1036000000"/>
    <n v="1036000000"/>
    <n v="30523"/>
    <s v="A-02-02-02-006-004 - A-03-03-01-056"/>
    <s v="Celebrado"/>
    <s v="En ejecución"/>
    <s v="N/A"/>
    <s v="CO-109-2023"/>
    <s v="Abril"/>
    <d v="2023-04-13T00:00:00"/>
    <s v="INTERADMINISTRATIVO"/>
    <m/>
    <s v="Nivel Central "/>
    <s v="Bogotá D.C."/>
    <s v="SERVICIO AEREO A TERRITORIOS NACIONALES S.A. SATENA"/>
    <n v="899999143"/>
    <n v="4"/>
    <s v="N/A"/>
    <m/>
    <m/>
    <m/>
    <s v="N/A"/>
    <s v="N/A"/>
    <n v="69823"/>
    <d v="2023-04-13T00:00:00"/>
    <n v="1036000000"/>
    <m/>
    <m/>
    <m/>
    <n v="1036000000"/>
    <s v="NO"/>
    <d v="1899-12-31T00:00:00"/>
    <s v="N/A"/>
    <d v="2023-04-13T00:00:00"/>
    <d v="2023-12-31T00:00:00"/>
    <n v="262"/>
    <s v="FERNANDEZ BAQUERO JUDY MELINDA"/>
    <n v="52853481"/>
    <m/>
    <m/>
    <m/>
    <m/>
    <m/>
    <m/>
    <m/>
    <m/>
    <m/>
    <m/>
    <m/>
    <m/>
    <m/>
    <m/>
    <m/>
    <m/>
    <m/>
    <m/>
    <m/>
    <m/>
    <m/>
  </r>
  <r>
    <s v="UNIDAD ADMINISTRATIVA ESPECIAL MIGRACIÓN COLOMBIA"/>
    <s v="900477235-6"/>
    <s v="TVEC"/>
    <n v="142"/>
    <x v="2"/>
    <s v="20236211410000010E"/>
    <n v="147536"/>
    <x v="2"/>
    <x v="50"/>
    <s v="minima cuantia"/>
    <s v="orden de compra "/>
    <x v="23"/>
    <s v="R16 CONTRATAR EL SERVICIO INTEGRAL DE ASEO Y CAFETERIA PARA LA SEDE 1: CFSM PUERTO CARREÑO. REGION 16 DE LA UNIDAD ADMINISTRATIVA ESPECIAL MIGRACIÓN COLOMBIA"/>
    <n v="76111501"/>
    <s v="Servicios de limpieza y mantenimiento de edificios generales y de oficinas "/>
    <n v="24865357"/>
    <n v="24865357"/>
    <n v="28623"/>
    <s v="A-02-02-02-006-003"/>
    <s v="DESIERTO"/>
    <m/>
    <s v="NO HAY RESOLUCION"/>
    <m/>
    <m/>
    <m/>
    <m/>
    <m/>
    <m/>
    <m/>
    <m/>
    <m/>
    <m/>
    <m/>
    <m/>
    <m/>
    <m/>
    <s v="N/A"/>
    <s v="N/A"/>
    <m/>
    <m/>
    <s v="PUBLICADO CIERRE SOL RFI EL 25 DE ABRIL "/>
    <m/>
    <m/>
    <m/>
    <e v="#VALUE!"/>
    <m/>
    <s v="PENDIENTE"/>
    <s v="2 CUMPLIMIENTO"/>
    <m/>
    <m/>
    <n v="0"/>
    <m/>
    <m/>
    <m/>
    <m/>
    <m/>
    <m/>
    <m/>
    <m/>
    <m/>
    <m/>
    <e v="#VALUE!"/>
    <m/>
    <m/>
    <m/>
    <m/>
    <m/>
    <m/>
    <m/>
    <m/>
    <m/>
    <n v="0"/>
    <m/>
    <m/>
  </r>
  <r>
    <s v="UNIDAD ADMINISTRATIVA ESPECIAL MIGRACIÓN COLOMBIA"/>
    <s v="900477235-6"/>
    <s v="Secop II"/>
    <n v="168"/>
    <x v="5"/>
    <s v="20236231407000003E"/>
    <s v="SABP-001-2023"/>
    <x v="2"/>
    <x v="51"/>
    <s v="Selección Abreviada"/>
    <s v="Bolsa de Productos"/>
    <x v="18"/>
    <s v="CONTRATAR LA PRESTACIÓN DEL SERVICIO DE VIGILANCIA Y SEGURIDAD PRIVADA PARA LA UNIDAD ADMINISTRATIVA ESPECIAL MIGRACIÓN COLOMBIA EN SUS SEDES UBICADAS A NIVEL NACIONAL (NIVEL CENTRAL, REGIONALES, CENTROS FACILITADORES DE SERVICIOS MIGRATORIOS Y PUESTOS DE CONTROL MIGRATORIO)"/>
    <n v="92121500"/>
    <s v="Servicio de Guardias"/>
    <n v="10994809613"/>
    <n v="10222636747"/>
    <s v="19223 - VF 3423"/>
    <s v="A-02-02-02-008-005"/>
    <s v="En tramite "/>
    <s v="En ejecución "/>
    <m/>
    <s v="CO-110-2023"/>
    <s v="ABRIL "/>
    <d v="2023-04-12T00:00:00"/>
    <s v="Contrato de Comisión "/>
    <m/>
    <s v="Nivel Central"/>
    <s v="Bogotá D.C. "/>
    <s v="CORREAGRO S.A. "/>
    <s v="805000867-9"/>
    <m/>
    <m/>
    <m/>
    <m/>
    <m/>
    <m/>
    <m/>
    <s v="78823/78723"/>
    <d v="2023-04-28T00:00:00"/>
    <n v="5122000000"/>
    <n v="4982000000"/>
    <m/>
    <m/>
    <n v="10104000000"/>
    <s v="SI"/>
    <d v="2023-04-28T00:00:00"/>
    <s v="CUMPLIMIENTO/SALARIOS/CALIDAD DEL SERVICIO"/>
    <d v="2023-05-01T00:00:00"/>
    <d v="2024-06-30T00:00:00"/>
    <n v="426"/>
    <s v="ANDREA PEREZ ARISMENDI"/>
    <n v="52808564"/>
    <m/>
    <m/>
    <m/>
    <m/>
    <m/>
    <m/>
    <m/>
    <m/>
    <n v="10104000000"/>
    <m/>
    <m/>
    <m/>
    <m/>
    <m/>
    <m/>
    <m/>
    <m/>
    <m/>
    <m/>
    <m/>
    <m/>
  </r>
  <r>
    <s v="UNIDAD ADMINISTRATIVA ESPECIAL MIGRACIÓN COLOMBIA"/>
    <s v="900477235-6"/>
    <s v="Secop II"/>
    <n v="34"/>
    <x v="1"/>
    <s v="20236231408000004E"/>
    <s v="SAMC-004-2023"/>
    <x v="2"/>
    <x v="52"/>
    <s v="Selección Abreviada"/>
    <s v="Menor Cuantia"/>
    <x v="14"/>
    <s v="CONTRATAR EL SERVICIO DE MONITOREO DE MEDIOS MASIVOS DE COMUNICACION"/>
    <n v="82111902"/>
    <s v="Servicios de boletines informativos de interés especial"/>
    <n v="70000000"/>
    <n v="50677075"/>
    <n v="22923"/>
    <s v="A-02-02-02-008-003"/>
    <s v="Cancelado"/>
    <m/>
    <m/>
    <m/>
    <m/>
    <m/>
    <m/>
    <m/>
    <m/>
    <m/>
    <m/>
    <m/>
    <m/>
    <m/>
    <m/>
    <m/>
    <m/>
    <m/>
    <n v="123"/>
    <m/>
    <m/>
    <m/>
    <m/>
    <m/>
    <m/>
    <n v="0"/>
    <m/>
    <m/>
    <m/>
    <m/>
    <m/>
    <n v="0"/>
    <m/>
    <m/>
    <m/>
    <m/>
    <m/>
    <m/>
    <m/>
    <m/>
    <m/>
    <m/>
    <m/>
    <m/>
    <m/>
    <m/>
    <m/>
    <m/>
    <m/>
    <m/>
    <m/>
    <m/>
    <m/>
    <m/>
    <m/>
  </r>
  <r>
    <s v="UNIDAD ADMINISTRATIVA ESPECIAL MIGRACIÓN COLOMBIA"/>
    <s v="900477235-6"/>
    <s v="Secop II"/>
    <n v="82"/>
    <x v="1"/>
    <s v="20236231408000023E"/>
    <s v="SIE-010-2023"/>
    <x v="2"/>
    <x v="52"/>
    <s v="Selección Abreviada"/>
    <s v="Subasta Inversa Electrónica"/>
    <x v="10"/>
    <s v="Extensión de garantía para los servidores marca DEL"/>
    <n v="81111500"/>
    <s v="Ingeniería de software o hardware"/>
    <n v="1539604000"/>
    <n v="1409169015"/>
    <n v="30823"/>
    <s v="C-1199-1002-10-0-1199001-02"/>
    <s v="En tramite "/>
    <m/>
    <m/>
    <m/>
    <m/>
    <m/>
    <m/>
    <m/>
    <m/>
    <m/>
    <m/>
    <m/>
    <m/>
    <m/>
    <m/>
    <m/>
    <m/>
    <m/>
    <n v="123"/>
    <m/>
    <m/>
    <m/>
    <m/>
    <m/>
    <m/>
    <m/>
    <m/>
    <m/>
    <m/>
    <m/>
    <m/>
    <n v="0"/>
    <m/>
    <m/>
    <m/>
    <m/>
    <m/>
    <m/>
    <m/>
    <m/>
    <m/>
    <m/>
    <m/>
    <m/>
    <m/>
    <m/>
    <m/>
    <m/>
    <m/>
    <m/>
    <m/>
    <m/>
    <m/>
    <m/>
    <m/>
  </r>
  <r>
    <s v="UNIDAD ADMINISTRATIVA ESPECIAL MIGRACIÓN COLOMBIA"/>
    <s v="900477235-6"/>
    <s v="Secop II"/>
    <n v="231"/>
    <x v="1"/>
    <s v="20236231412000005E"/>
    <s v="LP-002-202"/>
    <x v="2"/>
    <x v="52"/>
    <s v="Licitación Pública"/>
    <s v="Licitación Pública"/>
    <x v="12"/>
    <s v="Adquisición y ampliación de pasillos automáticos Biomig para los Puestos de Control Migratorio a Nivel Nacional."/>
    <n v="32151800"/>
    <s v="Dispositivos de control de seguridad"/>
    <n v="2735217031"/>
    <n v="2735217031"/>
    <n v="28223"/>
    <s v="C-1199-1002-10-0-1199001-02"/>
    <s v="En tramite "/>
    <m/>
    <m/>
    <m/>
    <m/>
    <m/>
    <m/>
    <m/>
    <m/>
    <m/>
    <m/>
    <m/>
    <m/>
    <m/>
    <m/>
    <m/>
    <m/>
    <m/>
    <n v="123"/>
    <m/>
    <m/>
    <m/>
    <m/>
    <m/>
    <m/>
    <m/>
    <m/>
    <m/>
    <m/>
    <m/>
    <m/>
    <n v="0"/>
    <m/>
    <m/>
    <m/>
    <m/>
    <m/>
    <m/>
    <m/>
    <m/>
    <m/>
    <m/>
    <m/>
    <m/>
    <m/>
    <m/>
    <m/>
    <m/>
    <m/>
    <m/>
    <m/>
    <m/>
    <m/>
    <m/>
    <m/>
  </r>
  <r>
    <s v="UNIDAD ADMINISTRATIVA ESPECIAL MIGRACIÓN COLOMBIA"/>
    <s v="900477235-6"/>
    <s v="Secop II"/>
    <n v="276"/>
    <x v="0"/>
    <s v="20236231407000007E"/>
    <s v="SAMC-003-2023-SYF"/>
    <x v="2"/>
    <x v="52"/>
    <s v="Selección abreviada "/>
    <s v=" menor cuantía"/>
    <x v="3"/>
    <s v="CONTRATAR A TODO COSTO, INCLUYENDO MATERIALES Y MANO DE OBRA, LA ADECUACIÓN DEL PCM SAN MIGUEL REGIONAL NARIÑO"/>
    <s v="72101500;72102900;72121100;81101500"/>
    <s v="Servicios de apoyo para la construcción - Servicios de mantenimiento y reparación de instalaciones - Servicios de construcción de edificios comerciales y de oficina - Ingeniería civil y arquitectura"/>
    <n v="100000000"/>
    <n v="100000000"/>
    <n v="26323"/>
    <s v="C-1103-1002-2-0-1103001-02"/>
    <s v="En trámite"/>
    <s v="N/A"/>
    <m/>
    <m/>
    <m/>
    <m/>
    <m/>
    <m/>
    <m/>
    <m/>
    <m/>
    <m/>
    <m/>
    <m/>
    <m/>
    <m/>
    <m/>
    <m/>
    <e v="#REF!"/>
    <m/>
    <m/>
    <m/>
    <m/>
    <m/>
    <m/>
    <m/>
    <m/>
    <m/>
    <m/>
    <m/>
    <m/>
    <n v="0"/>
    <m/>
    <m/>
    <m/>
    <m/>
    <m/>
    <m/>
    <m/>
    <m/>
    <m/>
    <m/>
    <m/>
    <m/>
    <m/>
    <m/>
    <m/>
    <m/>
    <m/>
    <m/>
    <m/>
    <m/>
    <m/>
    <m/>
    <m/>
  </r>
  <r>
    <s v="UNIDAD ADMINISTRATIVA ESPECIAL MIGRACIÓN COLOMBIA"/>
    <s v="900477235-6"/>
    <s v="Secop II"/>
    <n v="255"/>
    <x v="3"/>
    <s v="20236231408000012E"/>
    <s v="SIE-004-2023"/>
    <x v="2"/>
    <x v="52"/>
    <s v="Selección abreviada "/>
    <s v="Subasta Inversa Electrónica"/>
    <x v="27"/>
    <s v="Suministro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
    <n v="84121804"/>
    <s v="Bonos emitidos por el sector privado"/>
    <n v="120000000"/>
    <n v="120000000"/>
    <n v="24923"/>
    <s v="A-02-02-01-002-008 "/>
    <s v="En trámite"/>
    <m/>
    <m/>
    <m/>
    <m/>
    <m/>
    <s v="Contrato de Suministro"/>
    <m/>
    <m/>
    <m/>
    <m/>
    <m/>
    <m/>
    <m/>
    <m/>
    <m/>
    <m/>
    <m/>
    <e v="#REF!"/>
    <m/>
    <m/>
    <m/>
    <m/>
    <m/>
    <m/>
    <m/>
    <m/>
    <m/>
    <m/>
    <m/>
    <m/>
    <n v="0"/>
    <m/>
    <m/>
    <m/>
    <m/>
    <m/>
    <m/>
    <m/>
    <m/>
    <m/>
    <m/>
    <e v="#REF!"/>
    <m/>
    <m/>
    <m/>
    <m/>
    <m/>
    <m/>
    <m/>
    <m/>
    <m/>
    <n v="0"/>
    <m/>
    <m/>
  </r>
  <r>
    <s v="UNIDAD ADMINISTRATIVA ESPECIAL MIGRACIÓN COLOMBIA"/>
    <s v="900477235-6"/>
    <s v="Secop II"/>
    <n v="259"/>
    <x v="4"/>
    <s v="20236231407000004E"/>
    <s v="MC-008-2023"/>
    <x v="2"/>
    <x v="52"/>
    <s v="minima cuantia "/>
    <s v="mantenimineto correctivo sillas ergonomicas"/>
    <x v="22"/>
    <s v="Contratar el mantenimiento correctivo para la sillas ergonómicas de los_x000a_ funcionarios de Bogotá de Migración Colombia"/>
    <s v="56112107 - 72153613"/>
    <s v="MUEBLES MOBILIARIO Y DECORACION - SERVICIO DE EDIFICACION, CONSTRUCCION, DE INSTALACIONES Y MANTENIMIENTO"/>
    <n v="20000000"/>
    <n v="20000000"/>
    <n v="24723"/>
    <s v="A-02-02-02-008-007"/>
    <s v="En tramite "/>
    <s v="N/A"/>
    <m/>
    <m/>
    <m/>
    <m/>
    <s v="minima cuantia  "/>
    <m/>
    <s v="Nivel Central"/>
    <s v="Bogotá D.C."/>
    <m/>
    <m/>
    <m/>
    <s v="N/A"/>
    <s v="NO"/>
    <m/>
    <m/>
    <m/>
    <e v="#REF!"/>
    <m/>
    <m/>
    <m/>
    <m/>
    <m/>
    <m/>
    <m/>
    <m/>
    <m/>
    <m/>
    <m/>
    <m/>
    <m/>
    <m/>
    <m/>
    <m/>
    <m/>
    <m/>
    <m/>
    <m/>
    <m/>
    <m/>
    <m/>
    <m/>
    <m/>
    <m/>
    <m/>
    <m/>
    <m/>
    <m/>
    <m/>
    <m/>
    <m/>
    <m/>
    <m/>
    <m/>
  </r>
  <r>
    <s v="UNIDAD ADMINISTRATIVA ESPECIAL MIGRACIÓN COLOMBIA"/>
    <s v="900477235-6"/>
    <s v="TVEC"/>
    <n v="137"/>
    <x v="2"/>
    <s v="20236211410000013E"/>
    <n v="147290"/>
    <x v="2"/>
    <x v="52"/>
    <s v="minima cuantia"/>
    <s v="orden de compra "/>
    <x v="23"/>
    <s v="R7 CONTRATAR EL SERVICIO INTEGRAL DE ASEO Y CAFETERIA PARA LAS SEDES: NEIVA, IBAGUÉ Y PUERTO LEGUIZAMO, REGION 7 DE LA UNIDAD ADMINISTRATIVA ESPECIAL MIGRACIÓN COLOMBIA"/>
    <n v="76111501"/>
    <s v="Servicios de limpieza y mantenimiento de edificios generales y de oficinas "/>
    <n v="72412041"/>
    <n v="72412041"/>
    <n v="28623"/>
    <s v="A-02-02-02-006-003"/>
    <s v="Celebrado"/>
    <s v="En ejecución"/>
    <m/>
    <n v="108012"/>
    <s v="ABRIL "/>
    <d v="2023-04-19T00:00:00"/>
    <s v="Prestación de Servicios de apoyo a la Gestion "/>
    <m/>
    <s v="Neiva"/>
    <s v="Ibague"/>
    <s v="INTERNEGOCIOS SAS "/>
    <n v="900240753"/>
    <n v="1"/>
    <s v="N/A"/>
    <s v="SI"/>
    <m/>
    <m/>
    <s v="N/A"/>
    <s v="N/A"/>
    <m/>
    <m/>
    <n v="66859366.390000001"/>
    <m/>
    <m/>
    <m/>
    <n v="66859366.390000001"/>
    <s v="SI"/>
    <d v="2023-04-25T00:00:00"/>
    <s v="2 CUMPLIMIENTO"/>
    <d v="2023-04-19T00:00:00"/>
    <d v="2023-12-31T00:00:00"/>
    <n v="256"/>
    <s v="CARLOS ALBERTO ARCHILA "/>
    <n v="79448817"/>
    <m/>
    <m/>
    <m/>
    <m/>
    <m/>
    <m/>
    <m/>
    <m/>
    <n v="66859366.390000001"/>
    <m/>
    <m/>
    <m/>
    <m/>
    <m/>
    <m/>
    <m/>
    <m/>
    <m/>
    <n v="256"/>
    <m/>
    <m/>
  </r>
  <r>
    <s v="UNIDAD ADMINISTRATIVA ESPECIAL MIGRACIÓN COLOMBIA"/>
    <s v="900477235-6"/>
    <s v="Secop II"/>
    <n v="83"/>
    <x v="0"/>
    <s v="20236231407000012E"/>
    <s v="MC-012-2023"/>
    <x v="3"/>
    <x v="53"/>
    <s v="Mínima cuantía"/>
    <s v="Suministro"/>
    <x v="2"/>
    <s v="CONTRATAR EL SUMINISTRO DE UNA BOLSA DE REPUESTOS PARA EQUIPOS DE COMPUTO E IMPRESIÓN. "/>
    <s v="32101601;43211706;43201803;43202222;43211708;43211719;43211711;44101706;44103004;44103125"/>
    <s v="Memoria de acceso aleatorio (ram) - Teclados - Unidades de disco duro - Cables de computador - Mouse o bola de seguimiento para computador - Micrófonos de voz para computadores - Escáneres - Unidades de fotoconductores o imágenes - Fusores - Kit de mantenimiento de impresoras"/>
    <n v="45000000"/>
    <n v="45000000"/>
    <n v="33923"/>
    <s v="C-1199-1002-10-0-1199001-02"/>
    <s v="En trámite"/>
    <s v="N/A"/>
    <m/>
    <m/>
    <m/>
    <m/>
    <m/>
    <m/>
    <m/>
    <m/>
    <m/>
    <m/>
    <m/>
    <m/>
    <m/>
    <m/>
    <m/>
    <m/>
    <m/>
    <m/>
    <m/>
    <m/>
    <m/>
    <m/>
    <m/>
    <m/>
    <m/>
    <m/>
    <m/>
    <m/>
    <m/>
    <m/>
    <m/>
    <m/>
    <m/>
    <m/>
    <m/>
    <m/>
    <m/>
    <m/>
    <m/>
    <m/>
    <m/>
    <m/>
    <m/>
    <m/>
    <m/>
    <m/>
    <m/>
    <m/>
    <m/>
    <m/>
    <m/>
    <m/>
    <m/>
  </r>
  <r>
    <s v="UNIDAD ADMINISTRATIVA ESPECIAL MIGRACIÓN COLOMBIA"/>
    <s v="900477235-6"/>
    <s v="TVEC"/>
    <n v="127"/>
    <x v="2"/>
    <s v="20236211410000016E"/>
    <n v="148368"/>
    <x v="3"/>
    <x v="44"/>
    <s v="minima cuantia"/>
    <s v="orden de compra "/>
    <x v="23"/>
    <s v="R2 CONTRATAR EL SERVICIO INTEGRAL DE ASEO Y CAFETERÍA REGIÓN 2 (CARIBE)"/>
    <n v="76111501"/>
    <s v="Servicios de limpieza y mantenimiento de edificios generales y de oficinas "/>
    <n v="189479231.19999999"/>
    <n v="189479231.19999999"/>
    <n v="28623"/>
    <s v="A-02-02-02-006-003"/>
    <s v="Celebrado"/>
    <s v="EN TRAMITE"/>
    <m/>
    <n v="108707"/>
    <s v="ABRIL "/>
    <d v="2023-04-29T00:00:00"/>
    <s v="Prestación de Servicios de apoyo a la Gestion "/>
    <m/>
    <s v="Regional Caribe"/>
    <s v="Cartagena"/>
    <s v="UT ECOLIMPIEZA 4G"/>
    <n v="901676833"/>
    <n v="8"/>
    <s v="N/A"/>
    <m/>
    <m/>
    <m/>
    <s v="N/A"/>
    <s v="N/A"/>
    <m/>
    <m/>
    <m/>
    <m/>
    <m/>
    <m/>
    <n v="0"/>
    <m/>
    <s v="PENDIENTE"/>
    <s v="2 CUMPLIMIENTO"/>
    <m/>
    <m/>
    <n v="0"/>
    <m/>
    <m/>
    <m/>
    <m/>
    <m/>
    <m/>
    <m/>
    <m/>
    <m/>
    <m/>
    <n v="0"/>
    <m/>
    <m/>
    <m/>
    <m/>
    <m/>
    <m/>
    <m/>
    <m/>
    <m/>
    <n v="0"/>
    <m/>
    <m/>
  </r>
  <r>
    <s v="UNIDAD ADMINISTRATIVA ESPECIAL MIGRACIÓN COLOMBIA"/>
    <s v="900477235-6"/>
    <s v="Secop II"/>
    <n v="171"/>
    <x v="0"/>
    <s v="20236231407000012E"/>
    <s v="MC-010-2023"/>
    <x v="3"/>
    <x v="53"/>
    <s v="Mínima cuantía"/>
    <s v="Prestación de Servicios"/>
    <x v="3"/>
    <s v="SERVICIO DE MANTENIMIENTO PREVENTIVO Y CORRECTIVO INCLUIDO REPUESTOS PARA EL PARQUE AUTOMOTOR  REGIONAL ORIENTE EN LA CIUDAD DE CÚCUTA "/>
    <n v="78181507"/>
    <s v="Reparación y mantenimiento automotor y de camiones ligeros"/>
    <n v="45000000"/>
    <n v="45000000"/>
    <n v="30923"/>
    <s v="A-02-02-02-008-007"/>
    <s v="En trámite"/>
    <s v="N/A"/>
    <m/>
    <m/>
    <m/>
    <m/>
    <m/>
    <m/>
    <m/>
    <m/>
    <m/>
    <m/>
    <m/>
    <m/>
    <m/>
    <m/>
    <m/>
    <m/>
    <m/>
    <m/>
    <m/>
    <m/>
    <m/>
    <m/>
    <m/>
    <m/>
    <m/>
    <m/>
    <m/>
    <m/>
    <m/>
    <m/>
    <m/>
    <m/>
    <m/>
    <m/>
    <m/>
    <m/>
    <m/>
    <m/>
    <m/>
    <m/>
    <m/>
    <m/>
    <m/>
    <m/>
    <m/>
    <m/>
    <m/>
    <m/>
    <m/>
    <m/>
    <m/>
    <m/>
    <m/>
  </r>
  <r>
    <s v="UNIDAD ADMINISTRATIVA ESPECIAL MIGRACIÓN COLOMBIA"/>
    <s v="900477235-6"/>
    <s v="Secop II"/>
    <n v="173"/>
    <x v="0"/>
    <s v="20236231407000024E"/>
    <s v="MC-011-2023"/>
    <x v="3"/>
    <x v="53"/>
    <s v="Mínima cuantía"/>
    <s v="Prestación de Servicios"/>
    <x v="3"/>
    <s v="SERVICIO DE MANTENIMIENTO PREVENTIVO Y CORRECTIVO INCLUIDO REPUESTOS PARA EL PARQUE AUTOMOTOR DE LA  REGIONAL ATLÁNTICO"/>
    <n v="78181507"/>
    <s v="Reparación y mantenimiento automotor y de camiones ligeros"/>
    <n v="20000000"/>
    <n v="20000000"/>
    <n v="34123"/>
    <s v="A-02-02-02-008-007"/>
    <s v="En trámite"/>
    <s v="N/A"/>
    <m/>
    <m/>
    <m/>
    <m/>
    <m/>
    <m/>
    <m/>
    <m/>
    <m/>
    <m/>
    <m/>
    <m/>
    <m/>
    <m/>
    <m/>
    <m/>
    <m/>
    <m/>
    <m/>
    <m/>
    <m/>
    <m/>
    <m/>
    <m/>
    <m/>
    <m/>
    <m/>
    <m/>
    <m/>
    <m/>
    <m/>
    <m/>
    <m/>
    <m/>
    <m/>
    <m/>
    <m/>
    <m/>
    <m/>
    <m/>
    <m/>
    <m/>
    <m/>
    <m/>
    <m/>
    <m/>
    <m/>
    <m/>
    <m/>
    <m/>
    <m/>
    <m/>
    <m/>
  </r>
  <r>
    <s v="UNIDAD ADMINISTRATIVA ESPECIAL MIGRACIÓN COLOMBIA"/>
    <s v="900477235-6"/>
    <s v="Secop II"/>
    <n v="196"/>
    <x v="5"/>
    <s v="20236231407000019E "/>
    <s v="MC-013-2023"/>
    <x v="3"/>
    <x v="54"/>
    <s v="Mínima cuantía"/>
    <s v="Mínima cuantía"/>
    <x v="28"/>
    <s v="CONTRATAR EL SUMINISTRO DE COMBUSTIBLE PARQUE AUTOMOTOR Y PLANTAS ELÉCTRICAS REGIONAL SAN ANDRES Y PROVIDENCIA "/>
    <n v="15101505"/>
    <s v="Combustible diésel "/>
    <n v="5000000"/>
    <n v="5000000"/>
    <n v="35623"/>
    <s v="A-02-02-01-003-003"/>
    <s v="En trámite "/>
    <s v="En trámite "/>
    <m/>
    <m/>
    <m/>
    <m/>
    <m/>
    <m/>
    <m/>
    <m/>
    <m/>
    <m/>
    <m/>
    <m/>
    <m/>
    <m/>
    <m/>
    <m/>
    <m/>
    <m/>
    <m/>
    <m/>
    <m/>
    <m/>
    <m/>
    <m/>
    <m/>
    <m/>
    <m/>
    <m/>
    <m/>
    <m/>
    <m/>
    <m/>
    <m/>
    <m/>
    <m/>
    <m/>
    <m/>
    <m/>
    <m/>
    <m/>
    <m/>
    <m/>
    <m/>
    <m/>
    <m/>
    <m/>
    <m/>
    <m/>
    <m/>
    <m/>
    <m/>
    <m/>
    <m/>
  </r>
  <r>
    <s v="UNIDAD ADMINISTRATIVA ESPECIAL MIGRACIÓN COLOMBIA"/>
    <s v="900477235-6"/>
    <s v="Secop II"/>
    <n v="203"/>
    <x v="5"/>
    <s v="20236231415000015E "/>
    <s v="PCD-116-2023"/>
    <x v="3"/>
    <x v="55"/>
    <s v="Contratación Directa "/>
    <s v="Interadministrativo "/>
    <x v="28"/>
    <s v="PRESTAR EL SERVICIO DE ADMINISTRACIÓN, CUSTODIA, DIGITALIZACIÓN, ORGANIZACIÓN DE ARCHIVOS ASÍ COMO LA VERIFICACIÓN DE INVENTARIOS DOCUMENTALES, ELIMINACIÓN DOCUMENTAL y SANEAMIENTO AMBIENTAL DE LA UAEMC."/>
    <n v="78131602"/>
    <s v="Almacenaje de archivos de carpeta"/>
    <n v="1572376400"/>
    <n v="1250609235"/>
    <n v="29323"/>
    <s v="C-1199-1002-8-0-1199003-02; C-1199-1002-8-0-1199018-02"/>
    <s v="Celebrado"/>
    <s v="En ejecución "/>
    <m/>
    <s v="CO-120-2023"/>
    <s v="ABRIL "/>
    <d v="2023-04-27T00:00:00"/>
    <s v="Interadministrativo "/>
    <m/>
    <s v="Nivel Central"/>
    <s v="Bogotá D.C. "/>
    <s v="ARCHIVOS DEL ESTADO Y TECNOLOGIAS DE LA INFORMACION SAS "/>
    <s v="901.244.985-5"/>
    <m/>
    <m/>
    <m/>
    <m/>
    <m/>
    <m/>
    <m/>
    <n v="78923"/>
    <d v="2023-04-28T00:00:00"/>
    <n v="1250609235"/>
    <m/>
    <m/>
    <m/>
    <n v="1250609235"/>
    <s v="SI"/>
    <d v="2023-05-04T00:00:00"/>
    <s v="CUMPLIMIENTO/SALARIOS/CALIDAD DEL SERVICIO"/>
    <d v="2023-05-04T00:00:00"/>
    <d v="2023-12-31T00:00:00"/>
    <n v="240"/>
    <s v="ILVIS PATRICIA BORNACELLY "/>
    <n v="36551065"/>
    <m/>
    <m/>
    <m/>
    <m/>
    <m/>
    <m/>
    <m/>
    <m/>
    <n v="1250609235"/>
    <m/>
    <m/>
    <m/>
    <m/>
    <m/>
    <m/>
    <m/>
    <m/>
    <m/>
    <m/>
    <m/>
    <m/>
  </r>
  <r>
    <s v="UNIDAD ADMINISTRATIVA ESPECIAL MIGRACIÓN COLOMBIA"/>
    <s v="900477235-6"/>
    <s v="Secop II"/>
    <n v="229"/>
    <x v="1"/>
    <s v="20236231415000012E"/>
    <s v="PCD-119-2023"/>
    <x v="3"/>
    <x v="53"/>
    <s v="Contratación Directa"/>
    <s v="Exclusividad"/>
    <x v="12"/>
    <s v="Servicio de mantenimiento preventivo y correctivo para los equipos de grafología video comparadores, con bolsa de repuestos."/>
    <n v="72151704"/>
    <s v="Servicio de instalación y mantenimiento de sistemas instrumentados de seguridad"/>
    <n v="25000000"/>
    <n v="25000000"/>
    <n v="28323"/>
    <s v="C-1199-1002-10-0-1199001-02"/>
    <s v="En tramite "/>
    <m/>
    <m/>
    <m/>
    <m/>
    <m/>
    <m/>
    <m/>
    <m/>
    <m/>
    <m/>
    <m/>
    <m/>
    <m/>
    <m/>
    <m/>
    <m/>
    <m/>
    <m/>
    <m/>
    <m/>
    <m/>
    <m/>
    <m/>
    <m/>
    <m/>
    <m/>
    <m/>
    <m/>
    <m/>
    <m/>
    <m/>
    <m/>
    <m/>
    <m/>
    <m/>
    <m/>
    <m/>
    <m/>
    <m/>
    <m/>
    <m/>
    <m/>
    <m/>
    <m/>
    <m/>
    <m/>
    <m/>
    <m/>
    <m/>
    <m/>
    <m/>
    <m/>
    <m/>
    <m/>
  </r>
  <r>
    <s v="UNIDAD ADMINISTRATIVA ESPECIAL MIGRACIÓN COLOMBIA"/>
    <s v="900477235-6"/>
    <s v="Secop II"/>
    <n v="234"/>
    <x v="1"/>
    <s v="20233021408000001E"/>
    <s v="SIE-011-2023"/>
    <x v="3"/>
    <x v="56"/>
    <s v="Selección Abreviada"/>
    <s v="Subasta Inversa Electrónica"/>
    <x v="12"/>
    <s v="n. 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n v="81102700"/>
    <s v="Servicios de diseño e ingeniería de sistemas instrumentados de control"/>
    <n v="2547493939"/>
    <n v="2547493939"/>
    <m/>
    <m/>
    <s v="En tramite "/>
    <m/>
    <m/>
    <m/>
    <m/>
    <m/>
    <m/>
    <m/>
    <m/>
    <m/>
    <m/>
    <m/>
    <m/>
    <m/>
    <m/>
    <m/>
    <m/>
    <m/>
    <m/>
    <m/>
    <m/>
    <m/>
    <m/>
    <m/>
    <m/>
    <m/>
    <m/>
    <m/>
    <m/>
    <m/>
    <m/>
    <m/>
    <m/>
    <m/>
    <m/>
    <m/>
    <m/>
    <m/>
    <m/>
    <m/>
    <m/>
    <m/>
    <m/>
    <m/>
    <m/>
    <m/>
    <m/>
    <m/>
    <m/>
    <m/>
    <m/>
    <m/>
    <m/>
    <m/>
    <m/>
  </r>
  <r>
    <s v="UNIDAD ADMINISTRATIVA ESPECIAL MIGRACIÓN COLOMBIA"/>
    <s v="900477235-6"/>
    <s v="Secop II"/>
    <n v="240"/>
    <x v="1"/>
    <s v="20236231408000025E"/>
    <s v="SAMC-006-2023"/>
    <x v="3"/>
    <x v="54"/>
    <s v="Selección Abreviada"/>
    <s v="Menor Cuantia"/>
    <x v="22"/>
    <s v="Contratar los servicios profesionales para la creación de contenidos virtuales para la plataforma de Migración Colombia."/>
    <n v="86101808"/>
    <s v="Servicios de formación de recursos humanos para el sector publico"/>
    <n v="100000000"/>
    <n v="100000000"/>
    <n v="29423"/>
    <s v="C-1199-1002-9-0-1199005-02"/>
    <s v="En tramite "/>
    <m/>
    <m/>
    <m/>
    <m/>
    <m/>
    <m/>
    <m/>
    <m/>
    <m/>
    <m/>
    <m/>
    <m/>
    <m/>
    <m/>
    <m/>
    <m/>
    <m/>
    <m/>
    <m/>
    <m/>
    <m/>
    <m/>
    <m/>
    <m/>
    <m/>
    <m/>
    <m/>
    <m/>
    <m/>
    <m/>
    <m/>
    <m/>
    <m/>
    <m/>
    <m/>
    <m/>
    <m/>
    <m/>
    <m/>
    <m/>
    <m/>
    <m/>
    <m/>
    <m/>
    <m/>
    <m/>
    <m/>
    <m/>
    <m/>
    <m/>
    <m/>
    <m/>
    <m/>
    <m/>
  </r>
  <r>
    <s v="UNIDAD ADMINISTRATIVA ESPECIAL MIGRACIÓN COLOMBIA"/>
    <s v="900477235-6"/>
    <s v="Secop II"/>
    <n v="248"/>
    <x v="0"/>
    <s v="20236231416000006E"/>
    <s v="PCD-114-2023-9TH"/>
    <x v="3"/>
    <x v="57"/>
    <s v="Contratación Directa"/>
    <s v="Interadministrativo"/>
    <x v="24"/>
    <s v="CONTRATAR LOS SERVICIOS PROFESIONALES PARA LA REALIZACIÓN DE ACCIONES DE FORMACIÓN EN DIFERENTES CONTENIDOS TEMÁTICOS A FIN DE LLEVAR A CABO CAPACITACIONES PARA LOS FUNCIONARIOS DE MIGRACIÓN COLOMBIA A NIVEL NACIONAL"/>
    <s v="86111600;86111500"/>
    <s v="Educación de adultos - Servicios de aprendizaje a distancia"/>
    <n v="600000000"/>
    <n v="431410000"/>
    <n v="29523"/>
    <s v="C-1199-1002-9-0-1199005-02"/>
    <s v="En trámite"/>
    <s v="N/A"/>
    <m/>
    <m/>
    <m/>
    <m/>
    <m/>
    <m/>
    <m/>
    <m/>
    <m/>
    <m/>
    <m/>
    <m/>
    <m/>
    <m/>
    <m/>
    <m/>
    <m/>
    <m/>
    <m/>
    <m/>
    <m/>
    <m/>
    <m/>
    <m/>
    <m/>
    <m/>
    <m/>
    <m/>
    <m/>
    <m/>
    <m/>
    <m/>
    <m/>
    <m/>
    <m/>
    <m/>
    <m/>
    <m/>
    <m/>
    <m/>
    <m/>
    <m/>
    <m/>
    <m/>
    <m/>
    <m/>
    <m/>
    <m/>
    <m/>
    <m/>
    <m/>
    <m/>
    <m/>
  </r>
  <r>
    <s v="UNIDAD ADMINISTRATIVA ESPECIAL MIGRACIÓN COLOMBIA"/>
    <s v="900477235-6"/>
    <s v="Secop II"/>
    <n v="256"/>
    <x v="1"/>
    <s v="20236231420000002E"/>
    <s v="SABP-002-2023"/>
    <x v="3"/>
    <x v="54"/>
    <s v="Selección Abreviada"/>
    <s v="Bolsa de Productos"/>
    <x v="22"/>
    <s v="SUMINISTRAR A NIVEL NACIONAL LOS UNIFORMES A LOS FUNCIONARIOS DE LA UNIDAD ADMINISTRATIVA ESPECIAL MIGRACIÓN COLOMBIA QUE LLEVAN A CABO LABORES MISIONALES, CORRESPONDIENTE A LA VIGENCIA.”"/>
    <n v="53101502"/>
    <s v="Pantalones largos o cortos o pantalonetas para hombre"/>
    <n v="850000000"/>
    <n v="850000000"/>
    <n v="35023"/>
    <s v="A-02-02-01-002-008"/>
    <s v="En tramite "/>
    <m/>
    <m/>
    <m/>
    <m/>
    <m/>
    <m/>
    <m/>
    <m/>
    <m/>
    <m/>
    <m/>
    <m/>
    <m/>
    <m/>
    <m/>
    <m/>
    <m/>
    <m/>
    <m/>
    <m/>
    <m/>
    <m/>
    <m/>
    <m/>
    <m/>
    <m/>
    <m/>
    <m/>
    <m/>
    <m/>
    <m/>
    <m/>
    <m/>
    <m/>
    <m/>
    <m/>
    <m/>
    <m/>
    <m/>
    <m/>
    <m/>
    <m/>
    <m/>
    <m/>
    <m/>
    <m/>
    <m/>
    <m/>
    <m/>
    <m/>
    <m/>
    <m/>
    <m/>
    <m/>
  </r>
  <r>
    <s v="UNIDAD ADMINISTRATIVA ESPECIAL MIGRACIÓN COLOMBIA"/>
    <s v="900477235-6"/>
    <s v="TVEC"/>
    <n v="262"/>
    <x v="2"/>
    <s v="20236231410000025E"/>
    <n v="185513"/>
    <x v="3"/>
    <x v="58"/>
    <s v="minima cuantia"/>
    <s v="orden de compra "/>
    <x v="15"/>
    <s v="CONTRATAR LA ADQUISICIÓN DE ELEMENTOS PARA PREVENCIÓN DE RIESGO ERGONÓMICO"/>
    <n v="46182205"/>
    <s v="Descansapies"/>
    <n v="20000000"/>
    <n v="20000000"/>
    <n v="35223"/>
    <s v="A-02-02-01-003-008"/>
    <s v="Celebrado"/>
    <s v="En ejecución"/>
    <m/>
    <n v="108244"/>
    <s v="ABRIL "/>
    <d v="2033-04-24T00:00:00"/>
    <s v="Compraventa"/>
    <m/>
    <s v="Nivel Central"/>
    <s v="Bogotá D.C."/>
    <s v="JAIME BELTRAN URIBE"/>
    <n v="10125834"/>
    <n v="1"/>
    <s v="N/A"/>
    <m/>
    <m/>
    <m/>
    <s v="N/A"/>
    <s v="N/A"/>
    <n v="75823"/>
    <d v="2023-04-24T00:00:00"/>
    <n v="10043300"/>
    <m/>
    <m/>
    <m/>
    <n v="10043300"/>
    <s v="NO"/>
    <m/>
    <s v="N/A"/>
    <d v="2023-04-24T00:00:00"/>
    <d v="2023-05-22T00:00:00"/>
    <n v="28"/>
    <s v="ANGY ACOCHA ARISTIZABAL "/>
    <n v="52813239"/>
    <m/>
    <m/>
    <m/>
    <m/>
    <m/>
    <m/>
    <m/>
    <m/>
    <n v="10043300"/>
    <m/>
    <m/>
    <m/>
    <m/>
    <m/>
    <m/>
    <m/>
    <m/>
    <m/>
    <n v="28"/>
    <m/>
    <m/>
  </r>
  <r>
    <s v="UNIDAD ADMINISTRATIVA ESPECIAL MIGRACIÓN COLOMBIA"/>
    <s v="900477235-6"/>
    <s v="TVEC"/>
    <n v="262"/>
    <x v="2"/>
    <s v="20236231409000001E"/>
    <n v="105794"/>
    <x v="3"/>
    <x v="58"/>
    <s v="minima cuantia"/>
    <s v="orden de compra "/>
    <x v="15"/>
    <s v="CONTRATAR LA ADQUISICIÓN DE ELEMENTOS PARA PREVENCIÓN DE RIESGO ERGONÓMICO"/>
    <n v="46182205"/>
    <s v="Descansapies"/>
    <n v="20000000"/>
    <n v="20000000"/>
    <n v="35223"/>
    <s v="A-02-02-01-003-008"/>
    <s v="Celebrado"/>
    <s v="En ejecución"/>
    <m/>
    <n v="108175"/>
    <s v="ABRIL "/>
    <d v="2023-04-25T00:00:00"/>
    <s v="Compraventa"/>
    <m/>
    <s v="Nivel Central"/>
    <s v="Bogotá D.C."/>
    <s v="PANAMERICANA LIBRERÍA Y PAPELERÍA S.A."/>
    <n v="830037946"/>
    <n v="3"/>
    <s v="N/A"/>
    <m/>
    <m/>
    <m/>
    <s v="N/A"/>
    <s v="N/A"/>
    <n v="75223"/>
    <d v="2023-04-21T00:00:00"/>
    <n v="9871050"/>
    <m/>
    <m/>
    <m/>
    <n v="9871050"/>
    <s v="NO"/>
    <m/>
    <s v="N/A"/>
    <d v="2023-04-21T00:00:00"/>
    <d v="2023-05-22T00:00:00"/>
    <n v="31"/>
    <s v="ANGY ACOCHA ARISTIZABAL "/>
    <n v="52813239"/>
    <m/>
    <m/>
    <m/>
    <m/>
    <m/>
    <m/>
    <m/>
    <m/>
    <n v="9871050"/>
    <m/>
    <m/>
    <m/>
    <m/>
    <m/>
    <m/>
    <m/>
    <m/>
    <m/>
    <n v="31"/>
    <m/>
    <m/>
  </r>
  <r>
    <s v="UNIDAD ADMINISTRATIVA ESPECIAL MIGRACIÓN COLOMBIA"/>
    <s v="900477235-6"/>
    <s v="TVEC"/>
    <n v="264"/>
    <x v="2"/>
    <s v="20236231410000026E"/>
    <n v="184237"/>
    <x v="3"/>
    <x v="58"/>
    <s v="minima cuantia"/>
    <s v="orden de compra "/>
    <x v="15"/>
    <s v="CONTRATAR LA ADQUISICIÓN DE ELEMENTOS DE PROTECCIÓN PERSONAL E INDIVIDUAL (ELEMENTOS DE PROTECCIÓN  (CHALECOS REFLECTIVOS, GAFAS, PROTECTORES AUDITIVOS)) PARA LOS FUNCIONARIOS QUE REALIZAN OTRAS ACTIVIDADES MISIONALES, TENIENDO EN CUENTA LO CONTEMPLADO POR SALUD OCUPACIONAL."/>
    <n v="42171912"/>
    <s v="Estuches o bolsas o accesorios de primeros auxilios para servicios médicos de emergencia"/>
    <n v="10000000"/>
    <n v="10000000"/>
    <n v="26923"/>
    <s v="A-02-02-01-003-005"/>
    <s v="Celebrado"/>
    <s v="En ejecución"/>
    <m/>
    <n v="108171"/>
    <s v="ABRIL "/>
    <d v="2023-04-21T00:00:00"/>
    <s v="Compraventa"/>
    <m/>
    <s v="Nivel Central"/>
    <s v="Bogotá D.C."/>
    <s v="CENCOSUD COLOMBIA S.A."/>
    <n v="900155107"/>
    <n v="1"/>
    <s v="N/A"/>
    <m/>
    <m/>
    <m/>
    <s v="N/A"/>
    <s v="N/A"/>
    <n v="75423"/>
    <d v="2023-04-24T00:00:00"/>
    <n v="9998150"/>
    <m/>
    <m/>
    <m/>
    <n v="9998150"/>
    <s v="NO"/>
    <m/>
    <s v="N/A"/>
    <d v="2023-04-21T00:00:00"/>
    <d v="2023-07-21T00:00:00"/>
    <n v="91"/>
    <s v="RUBY VILLARRAGA BELLO"/>
    <n v="52665963"/>
    <m/>
    <m/>
    <m/>
    <m/>
    <m/>
    <m/>
    <m/>
    <m/>
    <n v="9998150"/>
    <m/>
    <m/>
    <m/>
    <m/>
    <m/>
    <m/>
    <m/>
    <m/>
    <m/>
    <n v="91"/>
    <m/>
    <m/>
  </r>
  <r>
    <s v="UNIDAD ADMINISTRATIVA ESPECIAL MIGRACIÓN COLOMBIA"/>
    <s v="900477235-6"/>
    <s v="Secop II"/>
    <n v="284"/>
    <x v="5"/>
    <s v="20236141413000001E "/>
    <s v="PCD-115-2023"/>
    <x v="3"/>
    <x v="55"/>
    <s v="Contratación Directa "/>
    <s v="Prestación de Servicios Profesionales "/>
    <x v="29"/>
    <s v="CONTRATAR LA PRESTACIÓN DE LOS SERVICIOS PROFESIONALES CON AUTONOMÍA TÉCNICA Y ADMINISTRATIVA A LA SUBDIRECCIÓN DE TALENTO HUMANO, TENDIENTE A APOYAR LA MEJORA DEL SISTEMA DE INFORMACIÓN EN NÓMINA BASADO EN LA PARAMETRIZACIÓN DE LOS MÓDULOS DEL SISTEMA KACTUS Y SELF SERVICE Y/O ACTIVACIÓN DE LOS QUE SE CONSIDEREN NECESARIOS HACIENDO USO DEL CONTRATO DE HORAS CON EL PROVEEDOR DIGITAL WARE"/>
    <n v="80161504"/>
    <s v="Servicios de Oficina"/>
    <n v="42500000"/>
    <n v="42500000"/>
    <n v="32423"/>
    <s v="C-1199-1002-10-0-1199001-02"/>
    <s v="Celebrado"/>
    <s v="En ejecución "/>
    <m/>
    <s v="CO-114-2023"/>
    <s v="Abril"/>
    <d v="2023-04-24T00:00:00"/>
    <s v="Prestación de Servicios Profesionales "/>
    <m/>
    <s v="Nivel Central"/>
    <s v="Bogotá D.C. "/>
    <s v="NORMA PATRICIA SANCHEZ CUBIDES"/>
    <n v="52350202"/>
    <m/>
    <s v="INGENIERA COMERCIAL "/>
    <m/>
    <m/>
    <m/>
    <d v="1978-01-10T00:00:00"/>
    <n v="45"/>
    <n v="76123"/>
    <d v="2023-04-25T00:00:00"/>
    <n v="42500000"/>
    <m/>
    <m/>
    <m/>
    <n v="42500000"/>
    <s v="SI"/>
    <d v="2023-04-25T00:00:00"/>
    <s v="CUMPLIMIENTO"/>
    <d v="2023-04-24T00:00:00"/>
    <d v="2023-12-31T00:00:00"/>
    <n v="246"/>
    <s v="MARCELA LARA TORO "/>
    <n v="52544180"/>
    <m/>
    <m/>
    <m/>
    <m/>
    <m/>
    <m/>
    <m/>
    <m/>
    <n v="42500000"/>
    <m/>
    <m/>
    <m/>
    <m/>
    <m/>
    <m/>
    <m/>
    <m/>
    <m/>
    <m/>
    <m/>
    <m/>
  </r>
  <r>
    <s v="UNIDAD ADMINISTRATIVA ESPECIAL MIGRACIÓN COLOMBIA"/>
    <s v="900477235-6"/>
    <s v="Secop II"/>
    <n v="286"/>
    <x v="1"/>
    <s v="20236231408000027E"/>
    <s v="SAM-007-2023"/>
    <x v="3"/>
    <x v="54"/>
    <s v="Selección Abreviada"/>
    <s v="Menor Cuantia"/>
    <x v="3"/>
    <s v="Contratar a todo costo incluyendo materiales y mano de obra, la adecuación del CFSM Maicao de la Regional Guajira."/>
    <n v="72101500"/>
    <s v="Servicios de apoyo para la construcción"/>
    <n v="300000000"/>
    <n v="269800000"/>
    <n v="32823"/>
    <s v="C-1103-1002-2-0-1103002-02"/>
    <s v="En tramite "/>
    <m/>
    <m/>
    <m/>
    <m/>
    <m/>
    <m/>
    <m/>
    <m/>
    <m/>
    <m/>
    <m/>
    <m/>
    <m/>
    <m/>
    <m/>
    <m/>
    <m/>
    <m/>
    <m/>
    <m/>
    <m/>
    <m/>
    <m/>
    <m/>
    <m/>
    <m/>
    <m/>
    <m/>
    <m/>
    <m/>
    <m/>
    <m/>
    <m/>
    <m/>
    <m/>
    <m/>
    <m/>
    <m/>
    <m/>
    <m/>
    <m/>
    <m/>
    <m/>
    <m/>
    <m/>
    <m/>
    <m/>
    <m/>
    <m/>
    <m/>
    <m/>
    <m/>
    <m/>
    <m/>
  </r>
  <r>
    <s v="UNIDAD ADMINISTRATIVA ESPECIAL MIGRACIÓN COLOMBIA"/>
    <s v="900477235-6"/>
    <s v="Secop II"/>
    <n v="287"/>
    <x v="5"/>
    <s v="20232501413000025E "/>
    <s v="PCD-117-2023"/>
    <x v="3"/>
    <x v="55"/>
    <s v="Contratación Directa "/>
    <s v="Prestación de Servicios Profesionales "/>
    <x v="30"/>
    <s v="PRESTAR SERVICIOS PROFESIONALES A LA OFICINA DE TECNOLOGÍA DE LA INFORMACIÓN, PARA EL SEGUIMIENTO Y MANTENIMIENTO AL SISTEMA DE GESTIÓN DE LA SEGURIDAD DE LA INFORMACIÓN (SGSI) Y DEMÁS DOMINIOS DE ARQUITECTURA EMPRESARIAL DE MIGRACIÓN COLOMBIA"/>
    <n v="811115"/>
    <s v="Ingenieria de oftware y hardware "/>
    <n v="85000000"/>
    <n v="85000000"/>
    <n v="32623"/>
    <s v="C-1199-1002-10-0-1199001-02"/>
    <s v="Celebrado"/>
    <s v="En ejecución "/>
    <m/>
    <s v="CO-115-2023"/>
    <s v="Abril"/>
    <d v="2023-04-25T00:00:00"/>
    <s v="Prestación de Servicios Profesionales "/>
    <m/>
    <s v="Nivel Central"/>
    <s v="Bogotá D.C. "/>
    <s v="ISIS JOHANNA GOMEZ PERALTA "/>
    <n v="53165790"/>
    <m/>
    <s v="INGENIERA DE SISTEMAS "/>
    <m/>
    <m/>
    <m/>
    <d v="1985-04-08T00:00:00"/>
    <n v="38"/>
    <n v="76723"/>
    <d v="2023-04-25T00:00:00"/>
    <n v="85000000"/>
    <m/>
    <m/>
    <m/>
    <n v="85000000"/>
    <s v="SI"/>
    <d v="2023-04-25T00:00:00"/>
    <s v="CUMPLIMIENTO"/>
    <d v="2023-04-25T00:00:00"/>
    <d v="2023-12-31T00:00:00"/>
    <n v="246"/>
    <s v="DIEGO EMILIO OJEDA MONCAYO "/>
    <n v="19498970"/>
    <m/>
    <m/>
    <m/>
    <m/>
    <m/>
    <m/>
    <m/>
    <m/>
    <n v="85000000"/>
    <m/>
    <m/>
    <m/>
    <m/>
    <m/>
    <m/>
    <m/>
    <m/>
    <m/>
    <m/>
    <m/>
    <m/>
  </r>
  <r>
    <s v="UNIDAD ADMINISTRATIVA ESPECIAL MIGRACIÓN COLOMBIA"/>
    <s v="900477235-6"/>
    <s v="Secop II"/>
    <n v="288"/>
    <x v="5"/>
    <s v="20236231416000011E "/>
    <s v="PCD-118-2023"/>
    <x v="3"/>
    <x v="54"/>
    <s v="Contratación Directa "/>
    <s v="Interadministrativo "/>
    <x v="29"/>
    <s v="CONTRATAR LA REALIZACIÓN DE ACCIONES DE FORMACIÓN ATENDIENDO LA SOLICITUD DE LAS OFICINAS : TECNOLOGIAS DE LA INFORMACION Y COMUNICACIONES, DIRIGIDO A FUNCIONARIOS DE MIGRACIÓN COLOMBIA"/>
    <n v="861116"/>
    <s v="Educación Adultos "/>
    <n v="200000000"/>
    <n v="195267045"/>
    <n v="33723"/>
    <s v="C-1199-1002-9-0-1199005-02"/>
    <s v="En trámite "/>
    <s v="En trámite "/>
    <m/>
    <m/>
    <m/>
    <m/>
    <m/>
    <m/>
    <m/>
    <m/>
    <m/>
    <m/>
    <m/>
    <m/>
    <m/>
    <m/>
    <m/>
    <m/>
    <m/>
    <m/>
    <m/>
    <m/>
    <m/>
    <m/>
    <m/>
    <m/>
    <m/>
    <m/>
    <m/>
    <m/>
    <m/>
    <m/>
    <m/>
    <m/>
    <m/>
    <m/>
    <m/>
    <m/>
    <m/>
    <m/>
    <m/>
    <m/>
    <m/>
    <m/>
    <m/>
    <m/>
    <m/>
    <m/>
    <m/>
    <m/>
    <m/>
    <m/>
    <m/>
    <m/>
    <m/>
  </r>
  <r>
    <s v="UNIDAD ADMINISTRATIVA ESPECIAL MIGRACIÓN COLOMBIA"/>
    <s v="900477235-6"/>
    <s v="TVEC"/>
    <n v="297"/>
    <x v="2"/>
    <s v="20236211410000017E"/>
    <n v="148807"/>
    <x v="3"/>
    <x v="59"/>
    <s v="minima cuantia"/>
    <s v="orden de compra "/>
    <x v="23"/>
    <s v="R16 CONTRATAR EL SERVICIO INTEGRAL DE ASEO Y CAFETERIA PARA LA SEDE 1: CFSM PUERTO CARREÑO. REGION 16 DE LA UNIDAD ADMINISTRATIVA ESPECIAL MIGRACIÓN COLOMBIA"/>
    <n v="76111501"/>
    <s v="Servicios de limpieza y mantenimiento de edificios generales y de oficinas "/>
    <n v="28203631.800000001"/>
    <n v="28203631.800000001"/>
    <n v="28623"/>
    <s v="A-02-02-02-006-003"/>
    <s v="En trámite "/>
    <m/>
    <m/>
    <m/>
    <m/>
    <m/>
    <m/>
    <m/>
    <m/>
    <m/>
    <m/>
    <m/>
    <m/>
    <m/>
    <m/>
    <m/>
    <m/>
    <s v="N/A"/>
    <s v="N/A"/>
    <m/>
    <m/>
    <s v="PUBLICADO CIERRE SOL RFI EL 25 DE ABRIL "/>
    <m/>
    <m/>
    <m/>
    <e v="#VALUE!"/>
    <m/>
    <s v="PENDIENTE"/>
    <s v="2 CUMPLIMIENTO"/>
    <m/>
    <m/>
    <n v="0"/>
    <m/>
    <m/>
    <m/>
    <m/>
    <m/>
    <m/>
    <m/>
    <m/>
    <m/>
    <m/>
    <e v="#VALUE!"/>
    <m/>
    <m/>
    <m/>
    <m/>
    <m/>
    <m/>
    <m/>
    <m/>
    <m/>
    <n v="0"/>
    <m/>
    <m/>
  </r>
  <r>
    <s v="UNIDAD ADMINISTRATIVA ESPECIAL MIGRACIÓN COLOMBIA"/>
    <s v="900477235-6"/>
    <s v="TVEC"/>
    <n v="134"/>
    <x v="2"/>
    <s v="20236211410000018E"/>
    <n v="149238"/>
    <x v="3"/>
    <x v="55"/>
    <s v="minima cuantia"/>
    <s v="orden de compra "/>
    <x v="23"/>
    <s v="R6 CONTRATAR EL SERVICIO INTEGRAL DE ASEO Y CAFETERIA REGION 6 (NARIÑO)"/>
    <n v="76111501"/>
    <s v="Servicios de limpieza y mantenimiento de edificios generales y de oficinas "/>
    <n v="157457711.08000001"/>
    <n v="157457711.08000001"/>
    <n v="28623"/>
    <s v="A-02-02-02-006-003"/>
    <s v="En trámite "/>
    <m/>
    <m/>
    <m/>
    <m/>
    <m/>
    <m/>
    <m/>
    <m/>
    <m/>
    <m/>
    <m/>
    <m/>
    <m/>
    <m/>
    <m/>
    <m/>
    <s v="N/A"/>
    <s v="N/A"/>
    <m/>
    <m/>
    <s v="PUBLICADO CIERRE SOL RFI EL 27 DE ABRIL "/>
    <m/>
    <m/>
    <m/>
    <e v="#VALUE!"/>
    <m/>
    <s v="PENDIENTE"/>
    <s v="2 CUMPLIMIENTO"/>
    <m/>
    <m/>
    <n v="0"/>
    <m/>
    <m/>
    <m/>
    <m/>
    <m/>
    <m/>
    <m/>
    <m/>
    <m/>
    <m/>
    <m/>
    <m/>
    <m/>
    <m/>
    <m/>
    <m/>
    <m/>
    <m/>
    <m/>
    <m/>
    <n v="0"/>
    <m/>
    <m/>
  </r>
  <r>
    <s v="UNIDAD ADMINISTRATIVA ESPECIAL MIGRACIÓN COLOMBIA"/>
    <s v="900477235-6"/>
    <s v="Secop II"/>
    <n v="183"/>
    <x v="3"/>
    <s v="20236231407000016E"/>
    <s v="SAMC-005-2023"/>
    <x v="3"/>
    <x v="60"/>
    <s v="Selección Abreviada - Menor Cuantía"/>
    <m/>
    <x v="3"/>
    <s v="Contratar el servicio de mantenimiento preventivo y correctivo incluido repuesto para el parque automotor ubicado en Bogotá y Regional Andina sedes Tunja, Ibagué y Neiva.  "/>
    <n v="78181507"/>
    <s v="Reparación y mantenimiento automotor y de camiones ligeros"/>
    <n v="190000000"/>
    <n v="190000000"/>
    <n v="31423"/>
    <s v="A-02-02-02-008-007"/>
    <s v="En trámite"/>
    <m/>
    <m/>
    <m/>
    <m/>
    <m/>
    <m/>
    <m/>
    <m/>
    <m/>
    <m/>
    <m/>
    <m/>
    <m/>
    <m/>
    <m/>
    <m/>
    <m/>
    <m/>
    <m/>
    <m/>
    <m/>
    <m/>
    <m/>
    <m/>
    <m/>
    <m/>
    <m/>
    <m/>
    <m/>
    <m/>
    <m/>
    <m/>
    <m/>
    <m/>
    <m/>
    <m/>
    <m/>
    <m/>
    <m/>
    <m/>
    <m/>
    <m/>
    <m/>
    <m/>
    <m/>
    <m/>
    <m/>
    <m/>
    <m/>
    <m/>
    <m/>
    <m/>
    <m/>
    <m/>
  </r>
  <r>
    <s v="UNIDAD ADMINISTRATIVA ESPECIAL MIGRACIÓN COLOMBIA"/>
    <s v="900477235-6"/>
    <s v="Secop II"/>
    <n v="76"/>
    <x v="3"/>
    <s v="20236231408000015E"/>
    <s v="SIE-012-2023"/>
    <x v="3"/>
    <x v="54"/>
    <s v="Selección Abreviada - Subasta Inversa Electrónica o Presencial "/>
    <m/>
    <x v="31"/>
    <s v="Adquirir renovación, actualización y soporte del licenciamiento Aranda y servicios asociados saas."/>
    <s v="43231500 - 43231501 - 81111800 - 81112200 - 43232300 - 43232600"/>
    <s v="Software de Mesa de ayuda"/>
    <n v="300000000"/>
    <n v="231635363"/>
    <n v="31323"/>
    <s v="C-1199-1002-10-0-1199001-02"/>
    <s v="En trámite"/>
    <m/>
    <m/>
    <m/>
    <m/>
    <m/>
    <m/>
    <m/>
    <m/>
    <m/>
    <m/>
    <m/>
    <m/>
    <m/>
    <m/>
    <m/>
    <m/>
    <m/>
    <m/>
    <m/>
    <m/>
    <m/>
    <m/>
    <m/>
    <m/>
    <m/>
    <m/>
    <m/>
    <m/>
    <m/>
    <m/>
    <m/>
    <m/>
    <m/>
    <m/>
    <m/>
    <m/>
    <m/>
    <m/>
    <m/>
    <m/>
    <m/>
    <m/>
    <m/>
    <m/>
    <m/>
    <m/>
    <m/>
    <m/>
    <m/>
    <m/>
    <m/>
    <m/>
    <m/>
    <m/>
  </r>
  <r>
    <s v="UNIDAD ADMINISTRATIVA ESPECIAL MIGRACIÓN COLOMBIA"/>
    <s v="900477235-6"/>
    <s v="Secop II"/>
    <n v="81"/>
    <x v="3"/>
    <s v="20236231408000017E"/>
    <s v="SIE-013-2023"/>
    <x v="3"/>
    <x v="53"/>
    <s v="Selección Abreviada - Subasta Inversa Electrónica o Presencial "/>
    <m/>
    <x v="31"/>
    <s v="Contratar la actualización del licenciamiento de Antivirus con soporte técnico, de conformidad con las especificaciones técnicas señaladas por la Unidad Administrativa Especial Migración Colombia. "/>
    <s v="43232800 - 43232900 - 43233200 - 81112200 - 81112500 - 81112202"/>
    <s v="Software de administración de redes"/>
    <n v="368948696"/>
    <n v="368948696"/>
    <n v="32923"/>
    <s v="C-1199-1002-10-0-1199001-02 "/>
    <s v="En trámite"/>
    <m/>
    <m/>
    <m/>
    <m/>
    <m/>
    <m/>
    <m/>
    <m/>
    <m/>
    <m/>
    <m/>
    <m/>
    <m/>
    <m/>
    <m/>
    <m/>
    <m/>
    <m/>
    <m/>
    <m/>
    <m/>
    <m/>
    <m/>
    <m/>
    <m/>
    <m/>
    <m/>
    <m/>
    <m/>
    <m/>
    <m/>
    <m/>
    <m/>
    <m/>
    <m/>
    <m/>
    <m/>
    <m/>
    <m/>
    <m/>
    <m/>
    <m/>
    <m/>
    <m/>
    <m/>
    <m/>
    <m/>
    <m/>
    <m/>
    <m/>
    <m/>
    <m/>
    <m/>
    <m/>
  </r>
  <r>
    <s v="UNIDAD ADMINISTRATIVA ESPECIAL MIGRACIÓN COLOMBIA"/>
    <s v="900477235-6"/>
    <s v="Secop II"/>
    <n v="212"/>
    <x v="3"/>
    <s v="20236231408000020E"/>
    <s v="SAMC-008-2023"/>
    <x v="3"/>
    <x v="54"/>
    <s v="Selección Abreviada - Menor Cuantía"/>
    <m/>
    <x v="3"/>
    <s v="Contratar a todo costo, incluyendo materiales y mano de obra, la adecuación de la sede del CFSM de Medellín - Regional Antioquia."/>
    <s v=" 72101507 - 72102905 - 81101701 - 72151605"/>
    <s v="Servicios de apoyo para la construcción "/>
    <n v="500000000"/>
    <n v="500000000"/>
    <n v="31923"/>
    <s v="C-1103-1002-2-0-1103002-02 "/>
    <s v="En trámite"/>
    <m/>
    <m/>
    <m/>
    <m/>
    <m/>
    <m/>
    <m/>
    <m/>
    <m/>
    <m/>
    <m/>
    <m/>
    <m/>
    <m/>
    <m/>
    <m/>
    <m/>
    <m/>
    <m/>
    <m/>
    <m/>
    <m/>
    <m/>
    <m/>
    <m/>
    <m/>
    <m/>
    <m/>
    <m/>
    <m/>
    <m/>
    <m/>
    <m/>
    <m/>
    <m/>
    <m/>
    <m/>
    <m/>
    <m/>
    <m/>
    <m/>
    <m/>
    <m/>
    <m/>
    <m/>
    <m/>
    <m/>
    <m/>
    <m/>
    <m/>
    <m/>
    <m/>
    <m/>
    <m/>
  </r>
  <r>
    <s v="UNIDAD ADMINISTRATIVA ESPECIAL MIGRACIÓN COLOMBIA"/>
    <s v="900477235-6"/>
    <s v="Secop II"/>
    <n v="70"/>
    <x v="3"/>
    <s v="20236231408000014E"/>
    <s v="SIE-014-2023"/>
    <x v="3"/>
    <x v="54"/>
    <s v="Selección Abreviada - Subasta Inversa Electrónica o Presencial "/>
    <m/>
    <x v="31"/>
    <s v="Contratar el mantenimiento de UPS´S a nivel nacional, extensión de garantía para los equipos marca APC y mantenimiento preventivo, correctivo con suministro de repuestos para control de acceso, contra incendio y aires acondicionados de confort, para los centros de cómputo principal y alterno."/>
    <s v="26111600 - 72103302 - 26111700 - 26131800"/>
    <s v="Generadores de Energía "/>
    <n v="600000000"/>
    <n v="548273960"/>
    <n v="34623"/>
    <s v="C-1199-1002-10-0-1199001-02 "/>
    <s v="En trámite"/>
    <m/>
    <m/>
    <m/>
    <m/>
    <m/>
    <m/>
    <m/>
    <m/>
    <m/>
    <m/>
    <m/>
    <m/>
    <m/>
    <m/>
    <m/>
    <m/>
    <m/>
    <m/>
    <m/>
    <m/>
    <m/>
    <m/>
    <m/>
    <m/>
    <m/>
    <m/>
    <m/>
    <m/>
    <m/>
    <m/>
    <m/>
    <m/>
    <m/>
    <m/>
    <m/>
    <m/>
    <m/>
    <m/>
    <m/>
    <m/>
    <m/>
    <m/>
    <m/>
    <m/>
    <m/>
    <m/>
    <m/>
    <m/>
    <m/>
    <m/>
    <m/>
    <m/>
    <m/>
    <m/>
  </r>
  <r>
    <s v="UNIDAD ADMINISTRATIVA ESPECIAL MIGRACIÓN COLOMBIA"/>
    <s v="900477235-6"/>
    <s v="TVEC"/>
    <n v="146"/>
    <x v="6"/>
    <s v="20236231410000021E"/>
    <n v="148025"/>
    <x v="3"/>
    <x v="61"/>
    <s v="Selección Abreviada"/>
    <s v="Acuerdo Marco de Precios"/>
    <x v="3"/>
    <s v="CONTRATAR LA ADQUISICIÓN DE SOAT PARA EL PARQUE AUTOMOTOR DE MIGRACIÓN COLOMBIA "/>
    <n v="84131603"/>
    <s v="Seguro de daños personales por accidente"/>
    <n v="49000000"/>
    <n v="36951700"/>
    <n v="32223"/>
    <s v="A-02-02-02-007-001"/>
    <s v="Celebrado"/>
    <s v="En ejecución "/>
    <m/>
    <n v="108703"/>
    <s v="Abril"/>
    <d v="2023-04-29T00:00:00"/>
    <s v="Orden de Compra"/>
    <m/>
    <s v="Nivel Central"/>
    <s v="Bogotá D.C. "/>
    <s v="MAPFRE SEGUROS GENERALES DE COLOMBIA S.A"/>
    <n v="891700037"/>
    <n v="9"/>
    <m/>
    <m/>
    <m/>
    <m/>
    <m/>
    <m/>
    <n v="79923"/>
    <d v="2023-05-02T00:00:00"/>
    <n v="35623228"/>
    <m/>
    <m/>
    <m/>
    <n v="35623228"/>
    <s v="NO"/>
    <m/>
    <m/>
    <d v="2023-05-02T00:00:00"/>
    <d v="2023-12-31T00:00:00"/>
    <n v="243"/>
    <s v="ELIANA CRISTINA CAMARGO SEGURA"/>
    <n v="52452907"/>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17043C5-23B2-41C1-BB0C-BF1A995E0C69}" name="TablaDinámica2" cacheId="8"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A44:F53" firstHeaderRow="1" firstDataRow="2" firstDataCol="1" rowPageCount="1" colPageCount="1"/>
  <pivotFields count="74">
    <pivotField showAll="0" defaultSubtotal="0"/>
    <pivotField showAll="0" defaultSubtotal="0"/>
    <pivotField showAll="0"/>
    <pivotField dataField="1" showAll="0"/>
    <pivotField axis="axisRow" showAll="0">
      <items count="8">
        <item x="1"/>
        <item x="2"/>
        <item x="4"/>
        <item x="0"/>
        <item x="3"/>
        <item x="5"/>
        <item x="6"/>
        <item t="default"/>
      </items>
    </pivotField>
    <pivotField showAll="0"/>
    <pivotField showAll="0"/>
    <pivotField axis="axisCol" showAll="0">
      <items count="5">
        <item x="0"/>
        <item x="1"/>
        <item x="2"/>
        <item x="3"/>
        <item t="default"/>
      </items>
    </pivotField>
    <pivotField axis="axisPage" numFmtId="14" showAll="0">
      <items count="63">
        <item x="0"/>
        <item x="1"/>
        <item x="2"/>
        <item x="3"/>
        <item x="4"/>
        <item x="5"/>
        <item x="6"/>
        <item x="7"/>
        <item x="8"/>
        <item x="9"/>
        <item x="10"/>
        <item x="11"/>
        <item x="12"/>
        <item x="13"/>
        <item x="14"/>
        <item x="27"/>
        <item x="16"/>
        <item x="28"/>
        <item x="29"/>
        <item x="22"/>
        <item x="25"/>
        <item x="21"/>
        <item x="17"/>
        <item x="15"/>
        <item x="20"/>
        <item x="26"/>
        <item x="24"/>
        <item x="18"/>
        <item x="19"/>
        <item x="23"/>
        <item x="52"/>
        <item x="50"/>
        <item x="47"/>
        <item x="31"/>
        <item x="36"/>
        <item x="51"/>
        <item x="39"/>
        <item x="30"/>
        <item x="32"/>
        <item x="33"/>
        <item x="34"/>
        <item x="35"/>
        <item x="37"/>
        <item x="38"/>
        <item x="40"/>
        <item x="41"/>
        <item x="42"/>
        <item x="43"/>
        <item x="44"/>
        <item x="45"/>
        <item x="46"/>
        <item x="48"/>
        <item x="49"/>
        <item x="53"/>
        <item x="54"/>
        <item x="55"/>
        <item x="56"/>
        <item x="57"/>
        <item x="58"/>
        <item x="59"/>
        <item x="60"/>
        <item x="61"/>
        <item t="default"/>
      </items>
    </pivotField>
    <pivotField showAll="0"/>
    <pivotField showAll="0"/>
    <pivotField showAll="0"/>
    <pivotField showAll="0"/>
    <pivotField showAll="0"/>
    <pivotField showAll="0"/>
    <pivotField numFmtId="42" showAll="0"/>
    <pivotField numFmtId="42"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showAll="0"/>
    <pivotField showAll="0"/>
    <pivotField showAll="0"/>
    <pivotField showAll="0"/>
    <pivotField showAll="0"/>
    <pivotField showAll="0"/>
    <pivotField showAll="0"/>
    <pivotField showAll="0"/>
    <pivotField showAll="0" defaultSubtotal="0"/>
    <pivotField showAll="0" defaultSubtotal="0"/>
    <pivotField showAll="0"/>
    <pivotField showAll="0"/>
    <pivotField showAll="0" defaultSubtotal="0"/>
    <pivotField showAll="0"/>
    <pivotField showAll="0"/>
    <pivotField showAll="0"/>
  </pivotFields>
  <rowFields count="1">
    <field x="4"/>
  </rowFields>
  <rowItems count="8">
    <i>
      <x/>
    </i>
    <i>
      <x v="1"/>
    </i>
    <i>
      <x v="2"/>
    </i>
    <i>
      <x v="3"/>
    </i>
    <i>
      <x v="4"/>
    </i>
    <i>
      <x v="5"/>
    </i>
    <i>
      <x v="6"/>
    </i>
    <i t="grand">
      <x/>
    </i>
  </rowItems>
  <colFields count="1">
    <field x="7"/>
  </colFields>
  <colItems count="5">
    <i>
      <x/>
    </i>
    <i>
      <x v="1"/>
    </i>
    <i>
      <x v="2"/>
    </i>
    <i>
      <x v="3"/>
    </i>
    <i t="grand">
      <x/>
    </i>
  </colItems>
  <pageFields count="1">
    <pageField fld="8" hier="-1"/>
  </pageFields>
  <dataFields count="1">
    <dataField name="Cuenta de CONSECUTIVO PAABS EXCEL Y ESTUDIOS PREVIOS " fld="3" subtotal="count" baseField="0" baseItem="45474660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4CC47C8-14A4-4051-86E6-159E05F5FC25}" name="TablaDinámica3" cacheId="8"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A6:F40" firstHeaderRow="1" firstDataRow="2" firstDataCol="1" rowPageCount="1" colPageCount="1"/>
  <pivotFields count="74">
    <pivotField showAll="0" defaultSubtotal="0"/>
    <pivotField showAll="0" defaultSubtotal="0"/>
    <pivotField showAll="0"/>
    <pivotField dataField="1" showAll="0"/>
    <pivotField showAll="0"/>
    <pivotField showAll="0"/>
    <pivotField showAll="0"/>
    <pivotField axis="axisCol" showAll="0">
      <items count="5">
        <item x="0"/>
        <item x="1"/>
        <item x="2"/>
        <item x="3"/>
        <item t="default"/>
      </items>
    </pivotField>
    <pivotField axis="axisPage" numFmtId="14" showAll="0">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9"/>
        <item x="41"/>
        <item x="42"/>
        <item x="43"/>
        <item x="45"/>
        <item x="46"/>
        <item x="47"/>
        <item x="48"/>
        <item x="49"/>
        <item x="50"/>
        <item x="51"/>
        <item x="52"/>
        <item x="38"/>
        <item x="40"/>
        <item x="44"/>
        <item x="53"/>
        <item x="54"/>
        <item x="55"/>
        <item x="56"/>
        <item x="57"/>
        <item x="58"/>
        <item x="59"/>
        <item x="60"/>
        <item x="61"/>
        <item t="default"/>
      </items>
    </pivotField>
    <pivotField showAll="0"/>
    <pivotField showAll="0"/>
    <pivotField axis="axisRow" showAll="0">
      <items count="33">
        <item x="19"/>
        <item x="0"/>
        <item x="7"/>
        <item x="16"/>
        <item x="27"/>
        <item x="14"/>
        <item x="1"/>
        <item x="9"/>
        <item x="11"/>
        <item x="4"/>
        <item x="2"/>
        <item x="25"/>
        <item x="10"/>
        <item x="5"/>
        <item x="8"/>
        <item x="20"/>
        <item x="21"/>
        <item x="3"/>
        <item x="23"/>
        <item x="18"/>
        <item x="13"/>
        <item x="12"/>
        <item x="17"/>
        <item x="22"/>
        <item x="24"/>
        <item x="26"/>
        <item x="6"/>
        <item x="15"/>
        <item x="28"/>
        <item x="29"/>
        <item x="30"/>
        <item x="31"/>
        <item t="default"/>
      </items>
    </pivotField>
    <pivotField showAll="0"/>
    <pivotField showAll="0"/>
    <pivotField showAll="0"/>
    <pivotField numFmtId="42" showAll="0"/>
    <pivotField numFmtId="42"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showAll="0"/>
    <pivotField showAll="0"/>
    <pivotField showAll="0"/>
    <pivotField showAll="0"/>
    <pivotField showAll="0"/>
    <pivotField showAll="0"/>
    <pivotField showAll="0"/>
    <pivotField showAll="0"/>
    <pivotField showAll="0" defaultSubtotal="0"/>
    <pivotField showAll="0" defaultSubtotal="0"/>
    <pivotField showAll="0"/>
    <pivotField showAll="0"/>
    <pivotField showAll="0" defaultSubtotal="0"/>
    <pivotField showAll="0"/>
    <pivotField showAll="0"/>
    <pivotField showAll="0"/>
  </pivotFields>
  <rowFields count="1">
    <field x="11"/>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Fields count="1">
    <field x="7"/>
  </colFields>
  <colItems count="5">
    <i>
      <x/>
    </i>
    <i>
      <x v="1"/>
    </i>
    <i>
      <x v="2"/>
    </i>
    <i>
      <x v="3"/>
    </i>
    <i t="grand">
      <x/>
    </i>
  </colItems>
  <pageFields count="1">
    <pageField fld="8" hier="-1"/>
  </pageFields>
  <dataFields count="1">
    <dataField name="Cuenta de CONSECUTIVO PAABS EXCEL Y ESTUDIOS PREVIOS "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22DE06-19B6-49CD-B419-58F6AB9E065C}" name="Tabla13" displayName="Tabla13" ref="A1:BV195" totalsRowShown="0" headerRowDxfId="78" dataDxfId="77" headerRowBorderDxfId="75" tableBorderDxfId="76" totalsRowBorderDxfId="74">
  <autoFilter ref="A1:BV195" xr:uid="{4D22DE06-19B6-49CD-B419-58F6AB9E065C}"/>
  <sortState xmlns:xlrd2="http://schemas.microsoft.com/office/spreadsheetml/2017/richdata2" ref="A2:BV21">
    <sortCondition ref="D1:D195"/>
  </sortState>
  <tableColumns count="74">
    <tableColumn id="70" xr3:uid="{7D18A2BD-2739-4DB9-8D95-4FD906BD5170}" name="ENTIDAD" dataDxfId="73"/>
    <tableColumn id="71" xr3:uid="{ECD9B303-46CA-449C-A0AD-5B9DD90908EB}" name="NIT" dataDxfId="72"/>
    <tableColumn id="1" xr3:uid="{31D65CA3-8B7D-47BE-B4EE-CFE036F1E78E}" name="PLATAFORMA" dataDxfId="71"/>
    <tableColumn id="2" xr3:uid="{E55195AA-1061-4136-8E1C-8009B5426B21}" name="CONSECUTIVO PAABS EXCEL Y ESTUDIOS PREVIOS " dataDxfId="70"/>
    <tableColumn id="3" xr3:uid="{B162B43A-6A4D-4F70-A012-431EFE474D06}" name="PROFESIONAL ENCARGADO" dataDxfId="69"/>
    <tableColumn id="4" xr3:uid="{3C700F74-A253-4E5D-8B10-61B56F3123E3}" name="EXPEDIENTE" dataDxfId="68"/>
    <tableColumn id="5" xr3:uid="{3989418D-1D03-476E-B8C8-AB9CF526A440}" name="N°PROCESO EN SECOP / No. EVENTO " dataDxfId="67"/>
    <tableColumn id="6" xr3:uid="{37420D2A-C181-4430-9C43-C10B8689C503}" name="MES" dataDxfId="66"/>
    <tableColumn id="7" xr3:uid="{AB523B0C-F458-4D54-A4C4-EF0BF3381C08}" name="FECHA PUBLICACION PROCESO SECOP II-TIENDA VIRTUAL" dataDxfId="65"/>
    <tableColumn id="8" xr3:uid="{3342D10D-A09A-4E7C-8C2A-A3B69D38A4C4}" name="MODALIDAD" dataDxfId="64"/>
    <tableColumn id="9" xr3:uid="{5B279AD7-B7B8-4483-91FC-FFF0ECFA5036}" name="CAUSAL" dataDxfId="63"/>
    <tableColumn id="10" xr3:uid="{0C1A56FC-99B9-4F0B-BD7A-5BE9580EC671}" name="AREA DE LA  NECESIDAD" dataDxfId="62"/>
    <tableColumn id="11" xr3:uid="{72948773-A76A-40CA-B471-C3A358E3C4C1}" name="OBJETO" dataDxfId="61"/>
    <tableColumn id="12" xr3:uid="{CBB5022D-F9B6-4BEB-A6D4-31B0A64EBA4A}" name="CODIGO UNSCSP" dataDxfId="60"/>
    <tableColumn id="13" xr3:uid="{F09D8ED6-1545-41E1-8053-FB70EEA0B1CA}" name="NOMBRE DE CODIGO" dataDxfId="59"/>
    <tableColumn id="14" xr3:uid="{4DA04C9F-55B4-4C97-B146-E75426DC52F3}" name="VALOR PROCESO EN EL PAABS SECOP II" dataDxfId="58"/>
    <tableColumn id="15" xr3:uid="{BDD212BD-D858-4E40-B624-727C54D00E5C}" name="VALOR PROCESO  ESTUDIOS PREVIOS " dataDxfId="57"/>
    <tableColumn id="16" xr3:uid="{A4F27A19-7E9F-44E0-A929-D86614613B60}" name="CDP" dataDxfId="56"/>
    <tableColumn id="17" xr3:uid="{74BD3072-ACF8-4A45-A931-B81B8FAC44A3}" name="RUBRO" dataDxfId="55"/>
    <tableColumn id="18" xr3:uid="{55AF80A0-EA21-46AD-9828-C8B4E5D5C80E}" name="ETAPA" dataDxfId="54"/>
    <tableColumn id="19" xr3:uid="{D1A2D67E-CE35-45F6-A1D0-76D3E0BA43FB}" name="ESTADO" dataDxfId="53"/>
    <tableColumn id="20" xr3:uid="{8DBCC896-E04F-455C-BE9E-467F57B36D49}" name="RESOLUCION DECLARACTORIA DESIERTO" dataDxfId="52"/>
    <tableColumn id="21" xr3:uid="{E1BE6A7B-AE40-4609-861E-1109AB8B0F78}" name="N° DE CONTRATO CELEBRADO" dataDxfId="51"/>
    <tableColumn id="22" xr3:uid="{6F54C078-18F8-4755-8CA9-C136D553E9F6}" name="MES2" dataDxfId="50"/>
    <tableColumn id="23" xr3:uid="{54C79963-5056-4963-A262-2733C978EE24}" name="FECHA DE FIRMA CONTRATO" dataDxfId="49"/>
    <tableColumn id="24" xr3:uid="{740DEB0B-E08D-4D30-9AB6-9331552BF884}" name="TIPO DE CONTRATO" dataDxfId="48"/>
    <tableColumn id="25" xr3:uid="{85323AEE-E6E0-4DB0-ACA9-D5E5771395F3}" name="OTRO TIPO DE CONTRATO" dataDxfId="47"/>
    <tableColumn id="26" xr3:uid="{3B2F0053-77BE-4CED-8F71-50C3D217EFCF}" name="REGIONAL" dataDxfId="46"/>
    <tableColumn id="27" xr3:uid="{D3EE7C3F-90F9-41B4-A66C-05D33E94042D}" name="_x000a_LUGAR DE EJECUCION_x000a_" dataDxfId="45"/>
    <tableColumn id="28" xr3:uid="{489644FF-B9E1-453F-8F6A-F3FAAA4F213C}" name="CONTRATISTA" dataDxfId="44"/>
    <tableColumn id="29" xr3:uid="{8F903CC6-FA2C-401A-AC44-993EB124C6FF}" name="IDENTIFICACION" dataDxfId="43"/>
    <tableColumn id="30" xr3:uid="{D4CD7E2A-B82A-40A4-82E9-77F6CDBEA0E4}" name="DV" dataDxfId="42"/>
    <tableColumn id="74" xr3:uid="{9C0F4113-EFFA-407A-BD8A-C94EAD75C1E5}" name="PROFESIÓN" dataDxfId="41"/>
    <tableColumn id="68" xr3:uid="{6C4D5D5F-B5CA-4E26-95AF-574695BB3A51}" name="MYPIME" dataDxfId="40"/>
    <tableColumn id="72" xr3:uid="{EAE7B291-FD5A-46F9-B890-DB3B2AB3930F}" name="CLASIFICACION" dataDxfId="39"/>
    <tableColumn id="73" xr3:uid="{1D28FD33-3805-4065-A4A4-04F3D782CFFD}" name="TIPO DE ORGANIZACIÓN" dataDxfId="38"/>
    <tableColumn id="65" xr3:uid="{EA5D4A2C-CDC2-4A3A-B13D-CA0728AC8C45}" name="FECHA DE NACIMIENTO" dataDxfId="37"/>
    <tableColumn id="67" xr3:uid="{23494587-5E93-4CC3-A53D-FA56BAB135B6}" name="EDAD" dataDxfId="36">
      <calculatedColumnFormula>+YEAR(TODAY())-YEAR(Tabla13[[#This Row],[FECHA DE NACIMIENTO]])</calculatedColumnFormula>
    </tableColumn>
    <tableColumn id="31" xr3:uid="{96383E9E-A6BB-405E-AFAB-89BCF3AA71B9}" name="N° RP" dataDxfId="35"/>
    <tableColumn id="32" xr3:uid="{3414BD82-8927-47AD-B399-E2B9F9AECDB1}" name="FECHA RP" dataDxfId="34"/>
    <tableColumn id="33" xr3:uid="{0112DAE8-DC02-431C-9502-CB8503FD0CC0}" name="VALOR  2023" dataDxfId="33"/>
    <tableColumn id="34" xr3:uid="{7AAACAF5-BB9D-4F33-BB39-693081477F46}" name="VALOR VF 2024" dataDxfId="32"/>
    <tableColumn id="35" xr3:uid="{78C3E942-54A6-4D08-8A07-B02039C4FC77}" name="VALOR VF 2025" dataDxfId="31"/>
    <tableColumn id="36" xr3:uid="{6E030218-47BA-4D89-8D9D-EFA515F5D764}" name="VALOR VF 2026" dataDxfId="30"/>
    <tableColumn id="37" xr3:uid="{8AC009AD-134D-4173-A79C-5084BE0E1B12}" name="VALOR TOTAL CONTRATO + VF" dataDxfId="29"/>
    <tableColumn id="38" xr3:uid="{19B0C811-13B3-4294-A966-E77FE2B8BFCE}" name="GARANTIA" dataDxfId="28"/>
    <tableColumn id="39" xr3:uid="{3361439E-C835-4957-AC56-84BBA91EE992}" name="FECHA DE EXPEDICION GARANTIA" dataDxfId="27"/>
    <tableColumn id="40" xr3:uid="{2DD8C110-0870-449E-AE78-BBE01F6AAE36}" name="RIESGOS" dataDxfId="26"/>
    <tableColumn id="41" xr3:uid="{95AA392F-2BF1-413F-A8B2-10F134B3E6BA}" name="FECHA DE INICIO DEL CONTRATO" dataDxfId="25"/>
    <tableColumn id="42" xr3:uid="{BE00029F-A949-4E1C-AA04-B741061809AE}" name="FECHA DE TERMINACION DEL CONTRATO" dataDxfId="24"/>
    <tableColumn id="43" xr3:uid="{8170D989-C3A0-452A-9955-5C112ECEA99D}" name="DIAS DE EJECUCION DEL CONTRATO" dataDxfId="23"/>
    <tableColumn id="44" xr3:uid="{37F70B1B-3AD1-4A99-9BF5-D78BF56AD877}" name="NOMBRE SUPERVISOR" dataDxfId="22"/>
    <tableColumn id="45" xr3:uid="{6A35C5A4-55E3-4426-9CBF-B6EE816711BE}" name="CEDULA SUPERVISOR" dataDxfId="21"/>
    <tableColumn id="46" xr3:uid="{44E191B0-C5F2-41A2-9E8A-4548CDA8E03C}" name="ADICION 1 " dataDxfId="20"/>
    <tableColumn id="47" xr3:uid="{5DA41538-65F2-4118-A792-70DE12D3A001}" name="FECHA  DE FIRMA" dataDxfId="19"/>
    <tableColumn id="48" xr3:uid="{171259CF-9AFE-4B49-86A2-AF48E625127A}" name="ADICION 2" dataDxfId="18"/>
    <tableColumn id="69" xr3:uid="{B64B2DBE-0D55-4640-9EE0-330A5A4A5641}" name="FECHA FIRMA" dataDxfId="17"/>
    <tableColumn id="66" xr3:uid="{39FF300C-FC9B-43A4-8D5D-440B08A6BE8C}" name="ADICION 3" dataDxfId="16"/>
    <tableColumn id="49" xr3:uid="{7C6BD182-0376-4AE6-AD94-FAB377CE08A4}" name="FECHADE FIRMA" dataDxfId="15"/>
    <tableColumn id="50" xr3:uid="{C871E751-A2EC-4A3D-8CEE-0B5D82FF6704}" name="LIBERACION" dataDxfId="14"/>
    <tableColumn id="51" xr3:uid="{6A71766E-3513-43A2-B489-C1050B2B6F4C}" name="FECHA LIBERACION " dataDxfId="13"/>
    <tableColumn id="52" xr3:uid="{D489527E-6799-4212-89BE-EDA59045056E}" name="VALOR TOTAL DEL CONTRATO CON ADICIONES VIGENCIA" dataDxfId="12"/>
    <tableColumn id="53" xr3:uid="{14653333-E943-4A2F-B6C0-E742943490DD}" name="PRORROGA 1  EN DIAS" dataDxfId="11"/>
    <tableColumn id="54" xr3:uid="{85FF05B4-FF57-4E0A-A6B6-4135015E06CD}" name="FECHADE TERMINACION DEL CONTRATO" dataDxfId="10"/>
    <tableColumn id="55" xr3:uid="{A96B2084-2D80-441C-A308-49755CA65BFA}" name="FECHA FIRMA DEL DOCUMENTO" dataDxfId="9"/>
    <tableColumn id="56" xr3:uid="{18FF74B6-C87A-4224-9747-731A7672552B}" name="PRORROGA 2 EN DIAS" dataDxfId="8"/>
    <tableColumn id="57" xr3:uid="{77B2147D-10F6-401D-8B05-E5053EBB2BA9}" name="FECHA DE TERMINACION DEL CONTRATO2" dataDxfId="7"/>
    <tableColumn id="58" xr3:uid="{A80408A9-2FA9-4C67-AD5E-5047960B3D1D}" name="FECHA FIRMA DEL DOCUMENTOS" dataDxfId="6"/>
    <tableColumn id="59" xr3:uid="{E407F283-B141-493B-AF76-EBCA7284013B}" name="PRORROGA 3 EN DIAS" dataDxfId="5"/>
    <tableColumn id="60" xr3:uid="{5FF3678A-E57A-4A5A-8A83-F1677984006E}" name="FECHA DE TERMINACION DEL CONTRATO3" dataDxfId="4"/>
    <tableColumn id="61" xr3:uid="{B5E9215E-6DCD-4DB0-9030-F1CF352FE9BB}" name="FECHA FIRMA DEL DOCUMENTO2" dataDxfId="3"/>
    <tableColumn id="62" xr3:uid="{07D272F9-DB14-4B65-AE2F-7588D1983DA3}" name="TIEMPO DE EJECUCION DEL CONTRATO CON LAS PRORROGAS" dataDxfId="2"/>
    <tableColumn id="63" xr3:uid="{28AF03E7-7A78-4E43-A850-63AC32BF7F13}" name="FECHA DE LIQUIDACION DEL CONTRATO" dataDxfId="1"/>
    <tableColumn id="64" xr3:uid="{DCF7046B-D99C-400C-AE07-88E53708F6F4}" name="OBSERVACION "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lombiacompra.coupahost.com/requisition_headers/183369" TargetMode="External"/><Relationship Id="rId3" Type="http://schemas.openxmlformats.org/officeDocument/2006/relationships/hyperlink" Target="javascript:void(0);" TargetMode="External"/><Relationship Id="rId7" Type="http://schemas.openxmlformats.org/officeDocument/2006/relationships/hyperlink" Target="https://colombiacompra.coupahost.com/order_headers/106792" TargetMode="Externa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11" Type="http://schemas.openxmlformats.org/officeDocument/2006/relationships/table" Target="../tables/table1.xml"/><Relationship Id="rId5" Type="http://schemas.openxmlformats.org/officeDocument/2006/relationships/hyperlink" Target="javascript:void(0);" TargetMode="External"/><Relationship Id="rId10" Type="http://schemas.openxmlformats.org/officeDocument/2006/relationships/drawing" Target="../drawings/drawing1.xml"/><Relationship Id="rId4" Type="http://schemas.openxmlformats.org/officeDocument/2006/relationships/hyperlink" Target="javascript:void(0);"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53"/>
  <sheetViews>
    <sheetView topLeftCell="A40" workbookViewId="0">
      <selection activeCell="E51" sqref="E51"/>
    </sheetView>
  </sheetViews>
  <sheetFormatPr baseColWidth="10" defaultRowHeight="15" x14ac:dyDescent="0.25"/>
  <cols>
    <col min="1" max="1" width="55.42578125" bestFit="1" customWidth="1"/>
    <col min="2" max="2" width="22.42578125" customWidth="1"/>
    <col min="3" max="3" width="8" customWidth="1"/>
    <col min="4" max="4" width="6.5703125" bestFit="1" customWidth="1"/>
    <col min="5" max="5" width="5.28515625" bestFit="1" customWidth="1"/>
    <col min="6" max="6" width="12.5703125" bestFit="1" customWidth="1"/>
  </cols>
  <sheetData>
    <row r="3" spans="1:6" x14ac:dyDescent="0.25">
      <c r="A3" s="6"/>
    </row>
    <row r="4" spans="1:6" x14ac:dyDescent="0.25">
      <c r="A4" s="5" t="s">
        <v>5</v>
      </c>
      <c r="B4" t="s">
        <v>417</v>
      </c>
    </row>
    <row r="6" spans="1:6" x14ac:dyDescent="0.25">
      <c r="A6" s="5" t="s">
        <v>413</v>
      </c>
      <c r="B6" s="5" t="s">
        <v>416</v>
      </c>
    </row>
    <row r="7" spans="1:6" x14ac:dyDescent="0.25">
      <c r="A7" s="5" t="s">
        <v>414</v>
      </c>
      <c r="B7" t="s">
        <v>57</v>
      </c>
      <c r="C7" t="s">
        <v>127</v>
      </c>
      <c r="D7" t="s">
        <v>771</v>
      </c>
      <c r="E7" t="s">
        <v>1159</v>
      </c>
      <c r="F7" t="s">
        <v>415</v>
      </c>
    </row>
    <row r="8" spans="1:6" x14ac:dyDescent="0.25">
      <c r="A8" s="6" t="s">
        <v>408</v>
      </c>
      <c r="B8" s="232">
        <v>1</v>
      </c>
      <c r="C8" s="232"/>
      <c r="D8" s="232"/>
      <c r="E8" s="232"/>
      <c r="F8" s="232">
        <v>1</v>
      </c>
    </row>
    <row r="9" spans="1:6" x14ac:dyDescent="0.25">
      <c r="A9" s="6" t="s">
        <v>136</v>
      </c>
      <c r="B9" s="232">
        <v>4</v>
      </c>
      <c r="C9" s="232">
        <v>1</v>
      </c>
      <c r="D9" s="232"/>
      <c r="E9" s="232"/>
      <c r="F9" s="232">
        <v>5</v>
      </c>
    </row>
    <row r="10" spans="1:6" x14ac:dyDescent="0.25">
      <c r="A10" s="6" t="s">
        <v>291</v>
      </c>
      <c r="B10" s="232">
        <v>2</v>
      </c>
      <c r="C10" s="232"/>
      <c r="D10" s="232">
        <v>1</v>
      </c>
      <c r="E10" s="232"/>
      <c r="F10" s="232">
        <v>3</v>
      </c>
    </row>
    <row r="11" spans="1:6" x14ac:dyDescent="0.25">
      <c r="A11" s="6" t="s">
        <v>324</v>
      </c>
      <c r="B11" s="232">
        <v>1</v>
      </c>
      <c r="C11" s="232"/>
      <c r="D11" s="232"/>
      <c r="E11" s="232"/>
      <c r="F11" s="232">
        <v>1</v>
      </c>
    </row>
    <row r="12" spans="1:6" x14ac:dyDescent="0.25">
      <c r="A12" s="6" t="s">
        <v>928</v>
      </c>
      <c r="B12" s="232"/>
      <c r="C12" s="232"/>
      <c r="D12" s="232">
        <v>1</v>
      </c>
      <c r="E12" s="232"/>
      <c r="F12" s="232">
        <v>1</v>
      </c>
    </row>
    <row r="13" spans="1:6" x14ac:dyDescent="0.25">
      <c r="A13" s="6" t="s">
        <v>250</v>
      </c>
      <c r="B13" s="232">
        <v>2</v>
      </c>
      <c r="C13" s="232"/>
      <c r="D13" s="232">
        <v>4</v>
      </c>
      <c r="E13" s="232"/>
      <c r="F13" s="232">
        <v>6</v>
      </c>
    </row>
    <row r="14" spans="1:6" x14ac:dyDescent="0.25">
      <c r="A14" s="6" t="s">
        <v>150</v>
      </c>
      <c r="B14" s="232">
        <v>11</v>
      </c>
      <c r="C14" s="232">
        <v>1</v>
      </c>
      <c r="D14" s="232"/>
      <c r="E14" s="232"/>
      <c r="F14" s="232">
        <v>12</v>
      </c>
    </row>
    <row r="15" spans="1:6" x14ac:dyDescent="0.25">
      <c r="A15" s="6" t="s">
        <v>371</v>
      </c>
      <c r="B15" s="232">
        <v>4</v>
      </c>
      <c r="C15" s="232"/>
      <c r="D15" s="232"/>
      <c r="E15" s="232"/>
      <c r="F15" s="232">
        <v>4</v>
      </c>
    </row>
    <row r="16" spans="1:6" x14ac:dyDescent="0.25">
      <c r="A16" s="6" t="s">
        <v>166</v>
      </c>
      <c r="B16" s="232">
        <v>1</v>
      </c>
      <c r="C16" s="232">
        <v>1</v>
      </c>
      <c r="D16" s="232"/>
      <c r="E16" s="232"/>
      <c r="F16" s="232">
        <v>2</v>
      </c>
    </row>
    <row r="17" spans="1:6" x14ac:dyDescent="0.25">
      <c r="A17" s="6" t="s">
        <v>99</v>
      </c>
      <c r="B17" s="232">
        <v>4</v>
      </c>
      <c r="C17" s="232">
        <v>1</v>
      </c>
      <c r="D17" s="232"/>
      <c r="E17" s="232"/>
      <c r="F17" s="232">
        <v>5</v>
      </c>
    </row>
    <row r="18" spans="1:6" x14ac:dyDescent="0.25">
      <c r="A18" s="6" t="s">
        <v>86</v>
      </c>
      <c r="B18" s="232">
        <v>6</v>
      </c>
      <c r="C18" s="232">
        <v>5</v>
      </c>
      <c r="D18" s="232">
        <v>3</v>
      </c>
      <c r="E18" s="232">
        <v>1</v>
      </c>
      <c r="F18" s="232">
        <v>15</v>
      </c>
    </row>
    <row r="19" spans="1:6" x14ac:dyDescent="0.25">
      <c r="A19" s="6" t="s">
        <v>967</v>
      </c>
      <c r="B19" s="232"/>
      <c r="C19" s="232"/>
      <c r="D19" s="232">
        <v>1</v>
      </c>
      <c r="E19" s="232"/>
      <c r="F19" s="232">
        <v>1</v>
      </c>
    </row>
    <row r="20" spans="1:6" x14ac:dyDescent="0.25">
      <c r="A20" s="6" t="s">
        <v>225</v>
      </c>
      <c r="B20" s="232">
        <v>6</v>
      </c>
      <c r="C20" s="232">
        <v>10</v>
      </c>
      <c r="D20" s="232">
        <v>11</v>
      </c>
      <c r="E20" s="232"/>
      <c r="F20" s="232">
        <v>27</v>
      </c>
    </row>
    <row r="21" spans="1:6" x14ac:dyDescent="0.25">
      <c r="A21" s="6" t="s">
        <v>188</v>
      </c>
      <c r="B21" s="232">
        <v>2</v>
      </c>
      <c r="C21" s="232"/>
      <c r="D21" s="232">
        <v>1</v>
      </c>
      <c r="E21" s="232"/>
      <c r="F21" s="232">
        <v>3</v>
      </c>
    </row>
    <row r="22" spans="1:6" x14ac:dyDescent="0.25">
      <c r="A22" s="6" t="s">
        <v>303</v>
      </c>
      <c r="B22" s="232">
        <v>2</v>
      </c>
      <c r="C22" s="232"/>
      <c r="D22" s="232"/>
      <c r="E22" s="232"/>
      <c r="F22" s="232">
        <v>2</v>
      </c>
    </row>
    <row r="23" spans="1:6" x14ac:dyDescent="0.25">
      <c r="A23" s="6" t="s">
        <v>621</v>
      </c>
      <c r="B23" s="232"/>
      <c r="C23" s="232">
        <v>1</v>
      </c>
      <c r="D23" s="232"/>
      <c r="E23" s="232"/>
      <c r="F23" s="232">
        <v>1</v>
      </c>
    </row>
    <row r="24" spans="1:6" x14ac:dyDescent="0.25">
      <c r="A24" s="6" t="s">
        <v>610</v>
      </c>
      <c r="B24" s="232"/>
      <c r="C24" s="232">
        <v>1</v>
      </c>
      <c r="D24" s="232">
        <v>5</v>
      </c>
      <c r="E24" s="232"/>
      <c r="F24" s="232">
        <v>6</v>
      </c>
    </row>
    <row r="25" spans="1:6" x14ac:dyDescent="0.25">
      <c r="A25" s="6" t="s">
        <v>61</v>
      </c>
      <c r="B25" s="232">
        <v>5</v>
      </c>
      <c r="C25" s="232">
        <v>7</v>
      </c>
      <c r="D25" s="232">
        <v>12</v>
      </c>
      <c r="E25" s="232">
        <v>6</v>
      </c>
      <c r="F25" s="232">
        <v>30</v>
      </c>
    </row>
    <row r="26" spans="1:6" x14ac:dyDescent="0.25">
      <c r="A26" s="6" t="s">
        <v>768</v>
      </c>
      <c r="B26" s="232"/>
      <c r="C26" s="232">
        <v>1</v>
      </c>
      <c r="D26" s="232">
        <v>20</v>
      </c>
      <c r="E26" s="232">
        <v>6</v>
      </c>
      <c r="F26" s="232">
        <v>27</v>
      </c>
    </row>
    <row r="27" spans="1:6" x14ac:dyDescent="0.25">
      <c r="A27" s="6" t="s">
        <v>340</v>
      </c>
      <c r="B27" s="232">
        <v>1</v>
      </c>
      <c r="C27" s="232">
        <v>2</v>
      </c>
      <c r="D27" s="232">
        <v>6</v>
      </c>
      <c r="E27" s="232"/>
      <c r="F27" s="232">
        <v>9</v>
      </c>
    </row>
    <row r="28" spans="1:6" x14ac:dyDescent="0.25">
      <c r="A28" s="6" t="s">
        <v>78</v>
      </c>
      <c r="B28" s="232">
        <v>1</v>
      </c>
      <c r="C28" s="232"/>
      <c r="D28" s="232"/>
      <c r="E28" s="232"/>
      <c r="F28" s="232">
        <v>1</v>
      </c>
    </row>
    <row r="29" spans="1:6" x14ac:dyDescent="0.25">
      <c r="A29" s="6" t="s">
        <v>313</v>
      </c>
      <c r="B29" s="232">
        <v>3</v>
      </c>
      <c r="C29" s="232">
        <v>2</v>
      </c>
      <c r="D29" s="232">
        <v>5</v>
      </c>
      <c r="E29" s="232">
        <v>2</v>
      </c>
      <c r="F29" s="232">
        <v>12</v>
      </c>
    </row>
    <row r="30" spans="1:6" x14ac:dyDescent="0.25">
      <c r="A30" s="6" t="s">
        <v>334</v>
      </c>
      <c r="B30" s="232">
        <v>1</v>
      </c>
      <c r="C30" s="232">
        <v>2</v>
      </c>
      <c r="D30" s="232"/>
      <c r="E30" s="232"/>
      <c r="F30" s="232">
        <v>3</v>
      </c>
    </row>
    <row r="31" spans="1:6" x14ac:dyDescent="0.25">
      <c r="A31" s="6" t="s">
        <v>652</v>
      </c>
      <c r="B31" s="232"/>
      <c r="C31" s="232">
        <v>2</v>
      </c>
      <c r="D31" s="232">
        <v>2</v>
      </c>
      <c r="E31" s="232">
        <v>2</v>
      </c>
      <c r="F31" s="232">
        <v>6</v>
      </c>
    </row>
    <row r="32" spans="1:6" x14ac:dyDescent="0.25">
      <c r="A32" s="6" t="s">
        <v>841</v>
      </c>
      <c r="B32" s="232"/>
      <c r="C32" s="232"/>
      <c r="D32" s="232">
        <v>2</v>
      </c>
      <c r="E32" s="232">
        <v>1</v>
      </c>
      <c r="F32" s="232">
        <v>3</v>
      </c>
    </row>
    <row r="33" spans="1:6" x14ac:dyDescent="0.25">
      <c r="A33" s="6" t="s">
        <v>981</v>
      </c>
      <c r="B33" s="232"/>
      <c r="C33" s="232"/>
      <c r="D33" s="232">
        <v>1</v>
      </c>
      <c r="E33" s="232"/>
      <c r="F33" s="232">
        <v>1</v>
      </c>
    </row>
    <row r="34" spans="1:6" x14ac:dyDescent="0.25">
      <c r="A34" s="6" t="s">
        <v>215</v>
      </c>
      <c r="B34" s="232">
        <v>1</v>
      </c>
      <c r="C34" s="232"/>
      <c r="D34" s="232"/>
      <c r="E34" s="232"/>
      <c r="F34" s="232">
        <v>1</v>
      </c>
    </row>
    <row r="35" spans="1:6" x14ac:dyDescent="0.25">
      <c r="A35" s="6" t="s">
        <v>259</v>
      </c>
      <c r="B35" s="232">
        <v>1</v>
      </c>
      <c r="C35" s="232"/>
      <c r="D35" s="232"/>
      <c r="E35" s="232">
        <v>3</v>
      </c>
      <c r="F35" s="232">
        <v>4</v>
      </c>
    </row>
    <row r="36" spans="1:6" x14ac:dyDescent="0.25">
      <c r="A36" s="6" t="s">
        <v>1186</v>
      </c>
      <c r="B36" s="232"/>
      <c r="C36" s="232"/>
      <c r="D36" s="232"/>
      <c r="E36" s="232">
        <v>2</v>
      </c>
      <c r="F36" s="232">
        <v>2</v>
      </c>
    </row>
    <row r="37" spans="1:6" x14ac:dyDescent="0.25">
      <c r="A37" s="6" t="s">
        <v>1208</v>
      </c>
      <c r="B37" s="232"/>
      <c r="C37" s="232"/>
      <c r="D37" s="232"/>
      <c r="E37" s="232">
        <v>2</v>
      </c>
      <c r="F37" s="232">
        <v>2</v>
      </c>
    </row>
    <row r="38" spans="1:6" x14ac:dyDescent="0.25">
      <c r="A38" s="6" t="s">
        <v>1217</v>
      </c>
      <c r="B38" s="232"/>
      <c r="C38" s="232"/>
      <c r="D38" s="232"/>
      <c r="E38" s="232">
        <v>1</v>
      </c>
      <c r="F38" s="232">
        <v>1</v>
      </c>
    </row>
    <row r="39" spans="1:6" x14ac:dyDescent="0.25">
      <c r="A39" s="6" t="s">
        <v>1357</v>
      </c>
      <c r="B39" s="232"/>
      <c r="C39" s="232"/>
      <c r="D39" s="232"/>
      <c r="E39" s="232">
        <v>3</v>
      </c>
      <c r="F39" s="232">
        <v>3</v>
      </c>
    </row>
    <row r="40" spans="1:6" x14ac:dyDescent="0.25">
      <c r="A40" s="6" t="s">
        <v>415</v>
      </c>
      <c r="B40" s="232">
        <v>59</v>
      </c>
      <c r="C40" s="232">
        <v>37</v>
      </c>
      <c r="D40" s="232">
        <v>75</v>
      </c>
      <c r="E40" s="232">
        <v>29</v>
      </c>
      <c r="F40" s="232">
        <v>200</v>
      </c>
    </row>
    <row r="42" spans="1:6" x14ac:dyDescent="0.25">
      <c r="A42" s="5" t="s">
        <v>5</v>
      </c>
      <c r="B42" t="s">
        <v>417</v>
      </c>
    </row>
    <row r="44" spans="1:6" x14ac:dyDescent="0.25">
      <c r="A44" s="5" t="s">
        <v>413</v>
      </c>
      <c r="B44" s="5" t="s">
        <v>416</v>
      </c>
    </row>
    <row r="45" spans="1:6" x14ac:dyDescent="0.25">
      <c r="A45" s="5" t="s">
        <v>414</v>
      </c>
      <c r="B45" t="s">
        <v>57</v>
      </c>
      <c r="C45" t="s">
        <v>127</v>
      </c>
      <c r="D45" t="s">
        <v>771</v>
      </c>
      <c r="E45" t="s">
        <v>1159</v>
      </c>
      <c r="F45" t="s">
        <v>415</v>
      </c>
    </row>
    <row r="46" spans="1:6" x14ac:dyDescent="0.25">
      <c r="A46" s="6" t="s">
        <v>55</v>
      </c>
      <c r="B46" s="232">
        <v>11</v>
      </c>
      <c r="C46" s="232">
        <v>6</v>
      </c>
      <c r="D46" s="232">
        <v>8</v>
      </c>
      <c r="E46" s="232">
        <v>5</v>
      </c>
      <c r="F46" s="232">
        <v>30</v>
      </c>
    </row>
    <row r="47" spans="1:6" x14ac:dyDescent="0.25">
      <c r="A47" s="6" t="s">
        <v>409</v>
      </c>
      <c r="B47" s="232">
        <v>14</v>
      </c>
      <c r="C47" s="232">
        <v>5</v>
      </c>
      <c r="D47" s="232">
        <v>21</v>
      </c>
      <c r="E47" s="232">
        <v>9</v>
      </c>
      <c r="F47" s="232">
        <v>49</v>
      </c>
    </row>
    <row r="48" spans="1:6" x14ac:dyDescent="0.25">
      <c r="A48" s="6" t="s">
        <v>344</v>
      </c>
      <c r="B48" s="232">
        <v>12</v>
      </c>
      <c r="C48" s="232">
        <v>9</v>
      </c>
      <c r="D48" s="232">
        <v>25</v>
      </c>
      <c r="E48" s="232"/>
      <c r="F48" s="232">
        <v>46</v>
      </c>
    </row>
    <row r="49" spans="1:6" x14ac:dyDescent="0.25">
      <c r="A49" s="6" t="s">
        <v>221</v>
      </c>
      <c r="B49" s="232">
        <v>12</v>
      </c>
      <c r="C49" s="232">
        <v>16</v>
      </c>
      <c r="D49" s="232">
        <v>8</v>
      </c>
      <c r="E49" s="232">
        <v>4</v>
      </c>
      <c r="F49" s="232">
        <v>40</v>
      </c>
    </row>
    <row r="50" spans="1:6" x14ac:dyDescent="0.25">
      <c r="A50" s="6" t="s">
        <v>345</v>
      </c>
      <c r="B50" s="232">
        <v>10</v>
      </c>
      <c r="C50" s="232">
        <v>1</v>
      </c>
      <c r="D50" s="232">
        <v>11</v>
      </c>
      <c r="E50" s="232">
        <v>5</v>
      </c>
      <c r="F50" s="232">
        <v>27</v>
      </c>
    </row>
    <row r="51" spans="1:6" x14ac:dyDescent="0.25">
      <c r="A51" s="6" t="s">
        <v>1183</v>
      </c>
      <c r="B51" s="232"/>
      <c r="C51" s="232"/>
      <c r="D51" s="232">
        <v>2</v>
      </c>
      <c r="E51" s="232">
        <v>5</v>
      </c>
      <c r="F51" s="232">
        <v>7</v>
      </c>
    </row>
    <row r="52" spans="1:6" x14ac:dyDescent="0.25">
      <c r="A52" s="6" t="s">
        <v>1395</v>
      </c>
      <c r="B52" s="232"/>
      <c r="C52" s="232"/>
      <c r="D52" s="232"/>
      <c r="E52" s="232">
        <v>1</v>
      </c>
      <c r="F52" s="232">
        <v>1</v>
      </c>
    </row>
    <row r="53" spans="1:6" x14ac:dyDescent="0.25">
      <c r="A53" s="6" t="s">
        <v>415</v>
      </c>
      <c r="B53" s="232">
        <v>59</v>
      </c>
      <c r="C53" s="232">
        <v>37</v>
      </c>
      <c r="D53" s="232">
        <v>75</v>
      </c>
      <c r="E53" s="232">
        <v>29</v>
      </c>
      <c r="F53" s="232">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DA766-CD99-4083-8586-FE26BAED1E79}">
  <sheetPr>
    <pageSetUpPr fitToPage="1"/>
  </sheetPr>
  <dimension ref="A1:BV201"/>
  <sheetViews>
    <sheetView tabSelected="1" topLeftCell="B1" zoomScale="90" zoomScaleNormal="90" zoomScaleSheetLayoutView="100" workbookViewId="0">
      <pane ySplit="1" topLeftCell="A125" activePane="bottomLeft" state="frozen"/>
      <selection activeCell="O1" sqref="O1"/>
      <selection pane="bottomLeft" activeCell="H200" sqref="H200"/>
    </sheetView>
  </sheetViews>
  <sheetFormatPr baseColWidth="10" defaultColWidth="30" defaultRowHeight="15" customHeight="1" x14ac:dyDescent="0.25"/>
  <cols>
    <col min="1" max="1" width="64.28515625" style="53" customWidth="1"/>
    <col min="2" max="4" width="30" style="53" customWidth="1"/>
    <col min="5" max="5" width="41.28515625" style="53" customWidth="1"/>
    <col min="6" max="9" width="30" style="53" customWidth="1"/>
    <col min="10" max="10" width="57.42578125" style="53" bestFit="1" customWidth="1"/>
    <col min="11" max="11" width="56.85546875" style="53" customWidth="1"/>
    <col min="12" max="12" width="59.42578125" style="53" customWidth="1"/>
    <col min="13" max="13" width="255.7109375" style="53" bestFit="1" customWidth="1"/>
    <col min="14" max="14" width="67.42578125" style="229" bestFit="1" customWidth="1"/>
    <col min="15" max="15" width="179.28515625" style="229" customWidth="1"/>
    <col min="16" max="16" width="30" style="53" customWidth="1"/>
    <col min="17" max="17" width="36.7109375" style="53" customWidth="1"/>
    <col min="18" max="18" width="30" style="53" customWidth="1"/>
    <col min="19" max="19" width="43" style="53" customWidth="1"/>
    <col min="20" max="22" width="30" style="53" customWidth="1"/>
    <col min="23" max="23" width="30" style="230" customWidth="1"/>
    <col min="24" max="25" width="30" style="53" customWidth="1"/>
    <col min="26" max="26" width="52.42578125" style="53" customWidth="1"/>
    <col min="27" max="28" width="30" style="53" customWidth="1"/>
    <col min="29" max="29" width="45.7109375" style="53" customWidth="1"/>
    <col min="30" max="30" width="46" style="53" customWidth="1"/>
    <col min="31" max="35" width="30" style="53" customWidth="1"/>
    <col min="36" max="36" width="41.85546875" style="53" customWidth="1"/>
    <col min="37" max="37" width="30" style="53" customWidth="1"/>
    <col min="38" max="38" width="30" style="230" customWidth="1"/>
    <col min="39" max="39" width="30" style="229" customWidth="1"/>
    <col min="40" max="42" width="30" style="53" customWidth="1"/>
    <col min="43" max="43" width="30" style="231" customWidth="1"/>
    <col min="44" max="44" width="30" style="53" customWidth="1"/>
    <col min="45" max="45" width="30" style="230" customWidth="1"/>
    <col min="46" max="46" width="30" style="53" customWidth="1"/>
    <col min="47" max="48" width="30" style="230" customWidth="1"/>
    <col min="49" max="51" width="30" style="53" customWidth="1"/>
    <col min="52" max="52" width="30" style="229" customWidth="1"/>
    <col min="53" max="53" width="30" style="230" customWidth="1"/>
    <col min="54" max="56" width="30" style="53" customWidth="1"/>
    <col min="57" max="57" width="30" style="230" customWidth="1"/>
    <col min="58" max="58" width="30" style="53" customWidth="1"/>
    <col min="59" max="59" width="30" style="230" customWidth="1"/>
    <col min="60" max="60" width="30" style="229" customWidth="1"/>
    <col min="61" max="61" width="30" style="53" customWidth="1"/>
    <col min="62" max="62" width="30" style="230" customWidth="1"/>
    <col min="63" max="63" width="30" style="230"/>
    <col min="64" max="65" width="30" style="53"/>
    <col min="66" max="66" width="30" style="230"/>
    <col min="67" max="67" width="30" style="53"/>
    <col min="68" max="68" width="30" style="229"/>
    <col min="69" max="69" width="30" style="230"/>
    <col min="70" max="70" width="30" style="53"/>
    <col min="71" max="71" width="20.85546875" style="230" customWidth="1"/>
    <col min="72" max="16384" width="30" style="53"/>
  </cols>
  <sheetData>
    <row r="1" spans="1:74" s="41" customFormat="1" ht="27" customHeight="1" x14ac:dyDescent="0.25">
      <c r="A1" s="32" t="s">
        <v>457</v>
      </c>
      <c r="B1" s="32" t="s">
        <v>458</v>
      </c>
      <c r="C1" s="33" t="s">
        <v>0</v>
      </c>
      <c r="D1" s="34" t="s">
        <v>1</v>
      </c>
      <c r="E1" s="34" t="s">
        <v>418</v>
      </c>
      <c r="F1" s="34" t="s">
        <v>2</v>
      </c>
      <c r="G1" s="34" t="s">
        <v>3</v>
      </c>
      <c r="H1" s="34" t="s">
        <v>4</v>
      </c>
      <c r="I1" s="34" t="s">
        <v>5</v>
      </c>
      <c r="J1" s="34" t="s">
        <v>6</v>
      </c>
      <c r="K1" s="34" t="s">
        <v>7</v>
      </c>
      <c r="L1" s="34" t="s">
        <v>1156</v>
      </c>
      <c r="M1" s="34" t="s">
        <v>8</v>
      </c>
      <c r="N1" s="34" t="s">
        <v>9</v>
      </c>
      <c r="O1" s="34" t="s">
        <v>10</v>
      </c>
      <c r="P1" s="35" t="s">
        <v>11</v>
      </c>
      <c r="Q1" s="35" t="s">
        <v>12</v>
      </c>
      <c r="R1" s="34" t="s">
        <v>13</v>
      </c>
      <c r="S1" s="34" t="s">
        <v>14</v>
      </c>
      <c r="T1" s="34" t="s">
        <v>15</v>
      </c>
      <c r="U1" s="34" t="s">
        <v>16</v>
      </c>
      <c r="V1" s="34" t="s">
        <v>17</v>
      </c>
      <c r="W1" s="34" t="s">
        <v>18</v>
      </c>
      <c r="X1" s="34" t="s">
        <v>411</v>
      </c>
      <c r="Y1" s="36" t="s">
        <v>19</v>
      </c>
      <c r="Z1" s="34" t="s">
        <v>20</v>
      </c>
      <c r="AA1" s="34" t="s">
        <v>21</v>
      </c>
      <c r="AB1" s="34" t="s">
        <v>22</v>
      </c>
      <c r="AC1" s="34" t="s">
        <v>462</v>
      </c>
      <c r="AD1" s="34" t="s">
        <v>23</v>
      </c>
      <c r="AE1" s="34" t="s">
        <v>24</v>
      </c>
      <c r="AF1" s="34" t="s">
        <v>25</v>
      </c>
      <c r="AG1" s="37" t="s">
        <v>486</v>
      </c>
      <c r="AH1" s="37" t="s">
        <v>451</v>
      </c>
      <c r="AI1" s="37" t="s">
        <v>461</v>
      </c>
      <c r="AJ1" s="37" t="s">
        <v>463</v>
      </c>
      <c r="AK1" s="37" t="s">
        <v>450</v>
      </c>
      <c r="AL1" s="37" t="s">
        <v>449</v>
      </c>
      <c r="AM1" s="34" t="s">
        <v>26</v>
      </c>
      <c r="AN1" s="36" t="s">
        <v>27</v>
      </c>
      <c r="AO1" s="35" t="s">
        <v>72</v>
      </c>
      <c r="AP1" s="34" t="s">
        <v>28</v>
      </c>
      <c r="AQ1" s="34" t="s">
        <v>29</v>
      </c>
      <c r="AR1" s="34" t="s">
        <v>73</v>
      </c>
      <c r="AS1" s="38" t="s">
        <v>30</v>
      </c>
      <c r="AT1" s="34" t="s">
        <v>31</v>
      </c>
      <c r="AU1" s="36" t="s">
        <v>32</v>
      </c>
      <c r="AV1" s="34" t="s">
        <v>33</v>
      </c>
      <c r="AW1" s="39" t="s">
        <v>34</v>
      </c>
      <c r="AX1" s="39" t="s">
        <v>35</v>
      </c>
      <c r="AY1" s="34" t="s">
        <v>36</v>
      </c>
      <c r="AZ1" s="34" t="s">
        <v>37</v>
      </c>
      <c r="BA1" s="34" t="s">
        <v>38</v>
      </c>
      <c r="BB1" s="35" t="s">
        <v>39</v>
      </c>
      <c r="BC1" s="36" t="s">
        <v>40</v>
      </c>
      <c r="BD1" s="34" t="s">
        <v>41</v>
      </c>
      <c r="BE1" s="34" t="s">
        <v>453</v>
      </c>
      <c r="BF1" s="34" t="s">
        <v>452</v>
      </c>
      <c r="BG1" s="36" t="s">
        <v>42</v>
      </c>
      <c r="BH1" s="34" t="s">
        <v>43</v>
      </c>
      <c r="BI1" s="36" t="s">
        <v>44</v>
      </c>
      <c r="BJ1" s="35" t="s">
        <v>45</v>
      </c>
      <c r="BK1" s="34" t="s">
        <v>46</v>
      </c>
      <c r="BL1" s="36" t="s">
        <v>47</v>
      </c>
      <c r="BM1" s="36" t="s">
        <v>48</v>
      </c>
      <c r="BN1" s="34" t="s">
        <v>49</v>
      </c>
      <c r="BO1" s="34" t="s">
        <v>455</v>
      </c>
      <c r="BP1" s="36" t="s">
        <v>456</v>
      </c>
      <c r="BQ1" s="34" t="s">
        <v>50</v>
      </c>
      <c r="BR1" s="35" t="s">
        <v>412</v>
      </c>
      <c r="BS1" s="36" t="s">
        <v>454</v>
      </c>
      <c r="BT1" s="34" t="s">
        <v>51</v>
      </c>
      <c r="BU1" s="36" t="s">
        <v>52</v>
      </c>
      <c r="BV1" s="40" t="s">
        <v>53</v>
      </c>
    </row>
    <row r="2" spans="1:74" ht="15" customHeight="1" x14ac:dyDescent="0.25">
      <c r="A2" s="42" t="s">
        <v>459</v>
      </c>
      <c r="B2" s="43" t="s">
        <v>460</v>
      </c>
      <c r="C2" s="44" t="s">
        <v>54</v>
      </c>
      <c r="D2" s="45">
        <v>1</v>
      </c>
      <c r="E2" s="45" t="s">
        <v>221</v>
      </c>
      <c r="F2" s="45" t="s">
        <v>134</v>
      </c>
      <c r="G2" s="45" t="s">
        <v>135</v>
      </c>
      <c r="H2" s="45" t="s">
        <v>57</v>
      </c>
      <c r="I2" s="46">
        <v>44937</v>
      </c>
      <c r="J2" s="45" t="s">
        <v>59</v>
      </c>
      <c r="K2" s="45" t="s">
        <v>60</v>
      </c>
      <c r="L2" s="45" t="s">
        <v>136</v>
      </c>
      <c r="M2" s="45" t="s">
        <v>137</v>
      </c>
      <c r="N2" s="45">
        <v>80161504</v>
      </c>
      <c r="O2" s="45" t="s">
        <v>138</v>
      </c>
      <c r="P2" s="47">
        <v>138000000</v>
      </c>
      <c r="Q2" s="47">
        <v>138000000</v>
      </c>
      <c r="R2" s="45">
        <v>11223</v>
      </c>
      <c r="S2" s="45" t="s">
        <v>63</v>
      </c>
      <c r="T2" s="45" t="s">
        <v>64</v>
      </c>
      <c r="U2" s="45" t="s">
        <v>65</v>
      </c>
      <c r="V2" s="45"/>
      <c r="W2" s="45" t="s">
        <v>139</v>
      </c>
      <c r="X2" s="45" t="s">
        <v>57</v>
      </c>
      <c r="Y2" s="46">
        <v>44939</v>
      </c>
      <c r="Z2" s="45" t="s">
        <v>67</v>
      </c>
      <c r="AA2" s="45"/>
      <c r="AB2" s="45" t="s">
        <v>68</v>
      </c>
      <c r="AC2" s="45" t="s">
        <v>69</v>
      </c>
      <c r="AD2" s="45" t="s">
        <v>140</v>
      </c>
      <c r="AE2" s="45">
        <v>52046198</v>
      </c>
      <c r="AF2" s="45" t="s">
        <v>141</v>
      </c>
      <c r="AG2" s="45" t="s">
        <v>602</v>
      </c>
      <c r="AH2" s="45" t="s">
        <v>551</v>
      </c>
      <c r="AI2" s="45" t="s">
        <v>467</v>
      </c>
      <c r="AJ2" s="48" t="s">
        <v>517</v>
      </c>
      <c r="AK2" s="49">
        <v>26047</v>
      </c>
      <c r="AL2" s="50">
        <f ca="1">+YEAR(TODAY())-YEAR(Tabla13[[#This Row],[FECHA DE NACIMIENTO]])</f>
        <v>52</v>
      </c>
      <c r="AM2" s="45">
        <v>13723</v>
      </c>
      <c r="AN2" s="46">
        <v>44938</v>
      </c>
      <c r="AO2" s="47">
        <v>138000000</v>
      </c>
      <c r="AP2" s="45"/>
      <c r="AQ2" s="45"/>
      <c r="AR2" s="45"/>
      <c r="AS2" s="51">
        <v>138000000</v>
      </c>
      <c r="AT2" s="45" t="s">
        <v>75</v>
      </c>
      <c r="AU2" s="46">
        <v>44943</v>
      </c>
      <c r="AV2" s="52" t="s">
        <v>74</v>
      </c>
      <c r="AW2" s="46">
        <v>44943</v>
      </c>
      <c r="AX2" s="46">
        <v>45291</v>
      </c>
      <c r="AY2" s="44">
        <f t="shared" ref="AY2:AY65" si="0">(AX2-AW2)</f>
        <v>348</v>
      </c>
      <c r="AZ2" s="45" t="s">
        <v>142</v>
      </c>
      <c r="BA2" s="45">
        <v>55164919</v>
      </c>
      <c r="BB2" s="47"/>
      <c r="BC2" s="49"/>
      <c r="BD2" s="45"/>
      <c r="BE2" s="45"/>
      <c r="BF2" s="45"/>
      <c r="BG2" s="49"/>
      <c r="BH2" s="45"/>
      <c r="BI2" s="49"/>
      <c r="BJ2" s="47">
        <f>(Tabla13[[#This Row],[VALOR TOTAL CONTRATO + VF]]+Tabla13[[#This Row],[ADICION 1 ]]+Tabla13[[#This Row],[ADICION 2]]-Tabla13[[#This Row],[LIBERACION]])</f>
        <v>138000000</v>
      </c>
      <c r="BK2" s="45"/>
      <c r="BL2" s="49"/>
      <c r="BM2" s="49"/>
      <c r="BN2" s="45"/>
      <c r="BO2" s="45"/>
      <c r="BP2" s="49"/>
      <c r="BQ2" s="45"/>
      <c r="BR2" s="47"/>
      <c r="BS2" s="49"/>
      <c r="BT2" s="45">
        <f t="shared" ref="BT2:BT47" si="1">SUM(AY2+BK2+BN2+BQ2)</f>
        <v>348</v>
      </c>
      <c r="BU2" s="49"/>
      <c r="BV2" s="52"/>
    </row>
    <row r="3" spans="1:74" ht="15" customHeight="1" x14ac:dyDescent="0.25">
      <c r="A3" s="42" t="s">
        <v>459</v>
      </c>
      <c r="B3" s="43" t="s">
        <v>460</v>
      </c>
      <c r="C3" s="44" t="s">
        <v>54</v>
      </c>
      <c r="D3" s="45">
        <v>7</v>
      </c>
      <c r="E3" s="45" t="s">
        <v>221</v>
      </c>
      <c r="F3" s="45" t="s">
        <v>148</v>
      </c>
      <c r="G3" s="45" t="s">
        <v>149</v>
      </c>
      <c r="H3" s="45" t="s">
        <v>57</v>
      </c>
      <c r="I3" s="46">
        <v>44938</v>
      </c>
      <c r="J3" s="45" t="s">
        <v>59</v>
      </c>
      <c r="K3" s="45" t="s">
        <v>60</v>
      </c>
      <c r="L3" s="45" t="s">
        <v>150</v>
      </c>
      <c r="M3" s="45" t="s">
        <v>151</v>
      </c>
      <c r="N3" s="45">
        <v>80111600</v>
      </c>
      <c r="O3" s="45" t="s">
        <v>152</v>
      </c>
      <c r="P3" s="47">
        <v>57500000</v>
      </c>
      <c r="Q3" s="47">
        <v>57500000</v>
      </c>
      <c r="R3" s="45">
        <v>12223</v>
      </c>
      <c r="S3" s="45" t="s">
        <v>153</v>
      </c>
      <c r="T3" s="45" t="s">
        <v>64</v>
      </c>
      <c r="U3" s="45" t="s">
        <v>65</v>
      </c>
      <c r="V3" s="45"/>
      <c r="W3" s="45" t="s">
        <v>154</v>
      </c>
      <c r="X3" s="45" t="s">
        <v>57</v>
      </c>
      <c r="Y3" s="46">
        <v>44939</v>
      </c>
      <c r="Z3" s="45" t="s">
        <v>67</v>
      </c>
      <c r="AA3" s="45"/>
      <c r="AB3" s="45" t="s">
        <v>68</v>
      </c>
      <c r="AC3" s="45" t="s">
        <v>69</v>
      </c>
      <c r="AD3" s="45" t="s">
        <v>155</v>
      </c>
      <c r="AE3" s="45">
        <v>52528201</v>
      </c>
      <c r="AF3" s="45" t="s">
        <v>141</v>
      </c>
      <c r="AG3" s="45" t="s">
        <v>604</v>
      </c>
      <c r="AH3" s="45" t="s">
        <v>551</v>
      </c>
      <c r="AI3" s="45" t="s">
        <v>467</v>
      </c>
      <c r="AJ3" s="48" t="s">
        <v>517</v>
      </c>
      <c r="AK3" s="49">
        <v>29041</v>
      </c>
      <c r="AL3" s="50">
        <f ca="1">+YEAR(TODAY())-YEAR(Tabla13[[#This Row],[FECHA DE NACIMIENTO]])</f>
        <v>44</v>
      </c>
      <c r="AM3" s="45">
        <v>15323</v>
      </c>
      <c r="AN3" s="46">
        <v>44942</v>
      </c>
      <c r="AO3" s="47">
        <v>57500000</v>
      </c>
      <c r="AP3" s="45"/>
      <c r="AQ3" s="45"/>
      <c r="AR3" s="45"/>
      <c r="AS3" s="51">
        <v>57500000</v>
      </c>
      <c r="AT3" s="45" t="s">
        <v>75</v>
      </c>
      <c r="AU3" s="46">
        <v>44939</v>
      </c>
      <c r="AV3" s="52" t="s">
        <v>74</v>
      </c>
      <c r="AW3" s="46">
        <v>44942</v>
      </c>
      <c r="AX3" s="46">
        <v>45291</v>
      </c>
      <c r="AY3" s="44">
        <f t="shared" si="0"/>
        <v>349</v>
      </c>
      <c r="AZ3" s="45" t="s">
        <v>156</v>
      </c>
      <c r="BA3" s="45">
        <v>79276876</v>
      </c>
      <c r="BB3" s="47"/>
      <c r="BC3" s="49"/>
      <c r="BD3" s="45"/>
      <c r="BE3" s="45"/>
      <c r="BF3" s="45"/>
      <c r="BG3" s="49"/>
      <c r="BH3" s="45"/>
      <c r="BI3" s="49"/>
      <c r="BJ3" s="47">
        <f>(Tabla13[[#This Row],[VALOR TOTAL CONTRATO + VF]]+Tabla13[[#This Row],[ADICION 1 ]]+Tabla13[[#This Row],[ADICION 2]]-Tabla13[[#This Row],[LIBERACION]])</f>
        <v>57500000</v>
      </c>
      <c r="BK3" s="45"/>
      <c r="BL3" s="49"/>
      <c r="BM3" s="49"/>
      <c r="BN3" s="45"/>
      <c r="BO3" s="45"/>
      <c r="BP3" s="49"/>
      <c r="BQ3" s="45"/>
      <c r="BR3" s="47"/>
      <c r="BS3" s="49"/>
      <c r="BT3" s="45">
        <f t="shared" si="1"/>
        <v>349</v>
      </c>
      <c r="BU3" s="49"/>
      <c r="BV3" s="52"/>
    </row>
    <row r="4" spans="1:74" ht="15" customHeight="1" x14ac:dyDescent="0.25">
      <c r="A4" s="42" t="s">
        <v>459</v>
      </c>
      <c r="B4" s="43" t="s">
        <v>460</v>
      </c>
      <c r="C4" s="44" t="s">
        <v>54</v>
      </c>
      <c r="D4" s="45">
        <v>45</v>
      </c>
      <c r="E4" s="45" t="s">
        <v>221</v>
      </c>
      <c r="F4" s="45" t="s">
        <v>179</v>
      </c>
      <c r="G4" s="45" t="s">
        <v>180</v>
      </c>
      <c r="H4" s="45" t="s">
        <v>57</v>
      </c>
      <c r="I4" s="46">
        <v>44938</v>
      </c>
      <c r="J4" s="45" t="s">
        <v>59</v>
      </c>
      <c r="K4" s="45" t="s">
        <v>60</v>
      </c>
      <c r="L4" s="45" t="s">
        <v>86</v>
      </c>
      <c r="M4" s="45" t="s">
        <v>181</v>
      </c>
      <c r="N4" s="45" t="s">
        <v>182</v>
      </c>
      <c r="O4" s="45" t="s">
        <v>183</v>
      </c>
      <c r="P4" s="47">
        <v>80500000</v>
      </c>
      <c r="Q4" s="47">
        <v>80500000</v>
      </c>
      <c r="R4" s="45">
        <v>11423</v>
      </c>
      <c r="S4" s="45" t="s">
        <v>89</v>
      </c>
      <c r="T4" s="45" t="s">
        <v>64</v>
      </c>
      <c r="U4" s="45" t="s">
        <v>65</v>
      </c>
      <c r="V4" s="45"/>
      <c r="W4" s="45" t="s">
        <v>184</v>
      </c>
      <c r="X4" s="45" t="s">
        <v>57</v>
      </c>
      <c r="Y4" s="46">
        <v>44939</v>
      </c>
      <c r="Z4" s="45" t="s">
        <v>67</v>
      </c>
      <c r="AA4" s="45"/>
      <c r="AB4" s="45" t="s">
        <v>68</v>
      </c>
      <c r="AC4" s="45" t="s">
        <v>69</v>
      </c>
      <c r="AD4" s="45" t="s">
        <v>185</v>
      </c>
      <c r="AE4" s="45">
        <v>1057579290</v>
      </c>
      <c r="AF4" s="45" t="s">
        <v>141</v>
      </c>
      <c r="AG4" s="45" t="s">
        <v>604</v>
      </c>
      <c r="AH4" s="45" t="s">
        <v>551</v>
      </c>
      <c r="AI4" s="45" t="s">
        <v>467</v>
      </c>
      <c r="AJ4" s="48" t="s">
        <v>517</v>
      </c>
      <c r="AK4" s="49">
        <v>32395</v>
      </c>
      <c r="AL4" s="50">
        <f ca="1">+YEAR(TODAY())-YEAR(Tabla13[[#This Row],[FECHA DE NACIMIENTO]])</f>
        <v>35</v>
      </c>
      <c r="AM4" s="45">
        <v>14423</v>
      </c>
      <c r="AN4" s="46">
        <v>44939</v>
      </c>
      <c r="AO4" s="47">
        <v>80500000</v>
      </c>
      <c r="AP4" s="45"/>
      <c r="AQ4" s="45"/>
      <c r="AR4" s="45"/>
      <c r="AS4" s="51">
        <v>80500000</v>
      </c>
      <c r="AT4" s="45" t="s">
        <v>75</v>
      </c>
      <c r="AU4" s="46">
        <v>44943</v>
      </c>
      <c r="AV4" s="52" t="s">
        <v>74</v>
      </c>
      <c r="AW4" s="46">
        <v>44942</v>
      </c>
      <c r="AX4" s="46">
        <v>45291</v>
      </c>
      <c r="AY4" s="44">
        <f t="shared" si="0"/>
        <v>349</v>
      </c>
      <c r="AZ4" s="45" t="s">
        <v>92</v>
      </c>
      <c r="BA4" s="45">
        <v>19498970</v>
      </c>
      <c r="BB4" s="47"/>
      <c r="BC4" s="49"/>
      <c r="BD4" s="45"/>
      <c r="BE4" s="45"/>
      <c r="BF4" s="45"/>
      <c r="BG4" s="49"/>
      <c r="BH4" s="45"/>
      <c r="BI4" s="49"/>
      <c r="BJ4" s="47">
        <f>(Tabla13[[#This Row],[VALOR TOTAL CONTRATO + VF]]+Tabla13[[#This Row],[ADICION 1 ]]+Tabla13[[#This Row],[ADICION 2]]-Tabla13[[#This Row],[LIBERACION]])</f>
        <v>80500000</v>
      </c>
      <c r="BK4" s="45"/>
      <c r="BL4" s="49"/>
      <c r="BM4" s="49"/>
      <c r="BN4" s="45"/>
      <c r="BO4" s="45"/>
      <c r="BP4" s="49"/>
      <c r="BQ4" s="45"/>
      <c r="BR4" s="47"/>
      <c r="BS4" s="49"/>
      <c r="BT4" s="45">
        <f t="shared" si="1"/>
        <v>349</v>
      </c>
      <c r="BU4" s="49"/>
      <c r="BV4" s="52"/>
    </row>
    <row r="5" spans="1:74" ht="15" customHeight="1" x14ac:dyDescent="0.25">
      <c r="A5" s="42" t="s">
        <v>459</v>
      </c>
      <c r="B5" s="43" t="s">
        <v>460</v>
      </c>
      <c r="C5" s="44" t="s">
        <v>54</v>
      </c>
      <c r="D5" s="45">
        <v>165</v>
      </c>
      <c r="E5" s="45" t="s">
        <v>221</v>
      </c>
      <c r="F5" s="45" t="s">
        <v>199</v>
      </c>
      <c r="G5" s="45" t="s">
        <v>200</v>
      </c>
      <c r="H5" s="45" t="s">
        <v>57</v>
      </c>
      <c r="I5" s="46">
        <v>44938</v>
      </c>
      <c r="J5" s="45" t="s">
        <v>59</v>
      </c>
      <c r="K5" s="45" t="s">
        <v>60</v>
      </c>
      <c r="L5" s="45" t="s">
        <v>61</v>
      </c>
      <c r="M5" s="45" t="s">
        <v>201</v>
      </c>
      <c r="N5" s="45" t="s">
        <v>202</v>
      </c>
      <c r="O5" s="45" t="s">
        <v>203</v>
      </c>
      <c r="P5" s="47">
        <v>69000000</v>
      </c>
      <c r="Q5" s="47">
        <v>69000000</v>
      </c>
      <c r="R5" s="45">
        <v>9523</v>
      </c>
      <c r="S5" s="45" t="s">
        <v>63</v>
      </c>
      <c r="T5" s="45" t="s">
        <v>64</v>
      </c>
      <c r="U5" s="45" t="s">
        <v>65</v>
      </c>
      <c r="V5" s="45"/>
      <c r="W5" s="45" t="s">
        <v>204</v>
      </c>
      <c r="X5" s="45" t="s">
        <v>57</v>
      </c>
      <c r="Y5" s="46">
        <v>44942</v>
      </c>
      <c r="Z5" s="45" t="s">
        <v>67</v>
      </c>
      <c r="AA5" s="45"/>
      <c r="AB5" s="45" t="s">
        <v>68</v>
      </c>
      <c r="AC5" s="45" t="s">
        <v>69</v>
      </c>
      <c r="AD5" s="45" t="s">
        <v>205</v>
      </c>
      <c r="AE5" s="45">
        <v>80469022</v>
      </c>
      <c r="AF5" s="45" t="s">
        <v>141</v>
      </c>
      <c r="AG5" s="45" t="s">
        <v>606</v>
      </c>
      <c r="AH5" s="45" t="s">
        <v>551</v>
      </c>
      <c r="AI5" s="45" t="s">
        <v>467</v>
      </c>
      <c r="AJ5" s="48" t="s">
        <v>517</v>
      </c>
      <c r="AK5" s="49">
        <v>26432</v>
      </c>
      <c r="AL5" s="50">
        <f ca="1">+YEAR(TODAY())-YEAR(Tabla13[[#This Row],[FECHA DE NACIMIENTO]])</f>
        <v>51</v>
      </c>
      <c r="AM5" s="45">
        <v>15423</v>
      </c>
      <c r="AN5" s="46">
        <v>44942</v>
      </c>
      <c r="AO5" s="47">
        <v>69000000</v>
      </c>
      <c r="AP5" s="45"/>
      <c r="AQ5" s="45"/>
      <c r="AR5" s="45"/>
      <c r="AS5" s="51">
        <v>69000000</v>
      </c>
      <c r="AT5" s="45" t="s">
        <v>75</v>
      </c>
      <c r="AU5" s="46">
        <v>44943</v>
      </c>
      <c r="AV5" s="52" t="s">
        <v>74</v>
      </c>
      <c r="AW5" s="46">
        <v>44943</v>
      </c>
      <c r="AX5" s="46">
        <v>45290</v>
      </c>
      <c r="AY5" s="44">
        <f t="shared" si="0"/>
        <v>347</v>
      </c>
      <c r="AZ5" s="45" t="s">
        <v>206</v>
      </c>
      <c r="BA5" s="45">
        <v>19462757</v>
      </c>
      <c r="BB5" s="47"/>
      <c r="BC5" s="49"/>
      <c r="BD5" s="45"/>
      <c r="BE5" s="45"/>
      <c r="BF5" s="45"/>
      <c r="BG5" s="49"/>
      <c r="BH5" s="45"/>
      <c r="BI5" s="49"/>
      <c r="BJ5" s="47">
        <f>(Tabla13[[#This Row],[VALOR TOTAL CONTRATO + VF]]+Tabla13[[#This Row],[ADICION 1 ]]+Tabla13[[#This Row],[ADICION 2]]-Tabla13[[#This Row],[LIBERACION]])</f>
        <v>69000000</v>
      </c>
      <c r="BK5" s="45"/>
      <c r="BL5" s="49"/>
      <c r="BM5" s="49"/>
      <c r="BN5" s="45"/>
      <c r="BO5" s="45"/>
      <c r="BP5" s="49"/>
      <c r="BQ5" s="45"/>
      <c r="BR5" s="47"/>
      <c r="BS5" s="49"/>
      <c r="BT5" s="45">
        <f t="shared" si="1"/>
        <v>347</v>
      </c>
      <c r="BU5" s="49"/>
      <c r="BV5" s="52"/>
    </row>
    <row r="6" spans="1:74" ht="15" customHeight="1" x14ac:dyDescent="0.25">
      <c r="A6" s="42" t="s">
        <v>459</v>
      </c>
      <c r="B6" s="43" t="s">
        <v>460</v>
      </c>
      <c r="C6" s="44" t="s">
        <v>54</v>
      </c>
      <c r="D6" s="45">
        <v>167</v>
      </c>
      <c r="E6" s="45" t="s">
        <v>221</v>
      </c>
      <c r="F6" s="45" t="s">
        <v>207</v>
      </c>
      <c r="G6" s="45" t="s">
        <v>208</v>
      </c>
      <c r="H6" s="45" t="s">
        <v>57</v>
      </c>
      <c r="I6" s="46">
        <v>44938</v>
      </c>
      <c r="J6" s="45" t="s">
        <v>59</v>
      </c>
      <c r="K6" s="45" t="s">
        <v>60</v>
      </c>
      <c r="L6" s="45" t="s">
        <v>61</v>
      </c>
      <c r="M6" s="45" t="s">
        <v>209</v>
      </c>
      <c r="N6" s="45" t="s">
        <v>202</v>
      </c>
      <c r="O6" s="45" t="s">
        <v>203</v>
      </c>
      <c r="P6" s="47">
        <v>92000000</v>
      </c>
      <c r="Q6" s="47">
        <v>92000000</v>
      </c>
      <c r="R6" s="45">
        <v>9323</v>
      </c>
      <c r="S6" s="45" t="s">
        <v>63</v>
      </c>
      <c r="T6" s="45" t="s">
        <v>64</v>
      </c>
      <c r="U6" s="45" t="s">
        <v>65</v>
      </c>
      <c r="V6" s="45"/>
      <c r="W6" s="45" t="s">
        <v>210</v>
      </c>
      <c r="X6" s="45" t="s">
        <v>57</v>
      </c>
      <c r="Y6" s="46">
        <v>44942</v>
      </c>
      <c r="Z6" s="45" t="s">
        <v>67</v>
      </c>
      <c r="AA6" s="45"/>
      <c r="AB6" s="45" t="s">
        <v>68</v>
      </c>
      <c r="AC6" s="45" t="s">
        <v>69</v>
      </c>
      <c r="AD6" s="45" t="s">
        <v>211</v>
      </c>
      <c r="AE6" s="45">
        <v>1049617134</v>
      </c>
      <c r="AF6" s="45" t="s">
        <v>141</v>
      </c>
      <c r="AG6" s="45" t="s">
        <v>605</v>
      </c>
      <c r="AH6" s="45" t="s">
        <v>551</v>
      </c>
      <c r="AI6" s="45" t="s">
        <v>467</v>
      </c>
      <c r="AJ6" s="48" t="s">
        <v>517</v>
      </c>
      <c r="AK6" s="49">
        <v>32682</v>
      </c>
      <c r="AL6" s="50">
        <f ca="1">+YEAR(TODAY())-YEAR(Tabla13[[#This Row],[FECHA DE NACIMIENTO]])</f>
        <v>34</v>
      </c>
      <c r="AM6" s="45">
        <v>15023</v>
      </c>
      <c r="AN6" s="46">
        <v>44942</v>
      </c>
      <c r="AO6" s="47">
        <v>92000000</v>
      </c>
      <c r="AP6" s="45"/>
      <c r="AQ6" s="45"/>
      <c r="AR6" s="45"/>
      <c r="AS6" s="51">
        <v>92000000</v>
      </c>
      <c r="AT6" s="45" t="s">
        <v>75</v>
      </c>
      <c r="AU6" s="46">
        <v>44942</v>
      </c>
      <c r="AV6" s="52" t="s">
        <v>74</v>
      </c>
      <c r="AW6" s="46">
        <v>44942</v>
      </c>
      <c r="AX6" s="46">
        <v>45291</v>
      </c>
      <c r="AY6" s="44">
        <f t="shared" si="0"/>
        <v>349</v>
      </c>
      <c r="AZ6" s="45" t="s">
        <v>212</v>
      </c>
      <c r="BA6" s="45">
        <v>74852744</v>
      </c>
      <c r="BB6" s="47"/>
      <c r="BC6" s="49"/>
      <c r="BD6" s="45"/>
      <c r="BE6" s="45"/>
      <c r="BF6" s="45"/>
      <c r="BG6" s="49"/>
      <c r="BH6" s="45"/>
      <c r="BI6" s="49"/>
      <c r="BJ6" s="47">
        <f>(Tabla13[[#This Row],[VALOR TOTAL CONTRATO + VF]]+Tabla13[[#This Row],[ADICION 1 ]]+Tabla13[[#This Row],[ADICION 2]]-Tabla13[[#This Row],[LIBERACION]])</f>
        <v>92000000</v>
      </c>
      <c r="BK6" s="45"/>
      <c r="BL6" s="49"/>
      <c r="BM6" s="49"/>
      <c r="BN6" s="45"/>
      <c r="BO6" s="45"/>
      <c r="BP6" s="49"/>
      <c r="BQ6" s="45"/>
      <c r="BR6" s="47"/>
      <c r="BS6" s="49"/>
      <c r="BT6" s="45">
        <f t="shared" si="1"/>
        <v>349</v>
      </c>
      <c r="BU6" s="49"/>
      <c r="BV6" s="52"/>
    </row>
    <row r="7" spans="1:74" ht="15" customHeight="1" x14ac:dyDescent="0.25">
      <c r="A7" s="42" t="s">
        <v>459</v>
      </c>
      <c r="B7" s="43" t="s">
        <v>460</v>
      </c>
      <c r="C7" s="44" t="s">
        <v>54</v>
      </c>
      <c r="D7" s="45">
        <v>166</v>
      </c>
      <c r="E7" s="45" t="s">
        <v>55</v>
      </c>
      <c r="F7" s="45" t="s">
        <v>56</v>
      </c>
      <c r="G7" s="45" t="s">
        <v>58</v>
      </c>
      <c r="H7" s="45" t="s">
        <v>57</v>
      </c>
      <c r="I7" s="46">
        <v>44939</v>
      </c>
      <c r="J7" s="45" t="s">
        <v>59</v>
      </c>
      <c r="K7" s="45" t="s">
        <v>60</v>
      </c>
      <c r="L7" s="45" t="s">
        <v>61</v>
      </c>
      <c r="M7" s="45" t="s">
        <v>79</v>
      </c>
      <c r="N7" s="45">
        <v>80111600</v>
      </c>
      <c r="O7" s="45" t="s">
        <v>62</v>
      </c>
      <c r="P7" s="47">
        <v>69000000</v>
      </c>
      <c r="Q7" s="47">
        <v>69000000</v>
      </c>
      <c r="R7" s="45">
        <v>11723</v>
      </c>
      <c r="S7" s="45" t="s">
        <v>63</v>
      </c>
      <c r="T7" s="45" t="s">
        <v>64</v>
      </c>
      <c r="U7" s="45" t="s">
        <v>65</v>
      </c>
      <c r="V7" s="45"/>
      <c r="W7" s="45" t="s">
        <v>70</v>
      </c>
      <c r="X7" s="45" t="s">
        <v>57</v>
      </c>
      <c r="Y7" s="46">
        <v>44942</v>
      </c>
      <c r="Z7" s="45" t="s">
        <v>67</v>
      </c>
      <c r="AA7" s="45"/>
      <c r="AB7" s="45" t="s">
        <v>68</v>
      </c>
      <c r="AC7" s="45" t="s">
        <v>69</v>
      </c>
      <c r="AD7" s="45" t="s">
        <v>71</v>
      </c>
      <c r="AE7" s="45">
        <v>1020779282</v>
      </c>
      <c r="AF7" s="45"/>
      <c r="AG7" s="45"/>
      <c r="AH7" s="45"/>
      <c r="AI7" s="45"/>
      <c r="AJ7" s="45"/>
      <c r="AK7" s="49">
        <v>34779</v>
      </c>
      <c r="AL7" s="50">
        <f ca="1">+YEAR(TODAY())-YEAR(Tabla13[[#This Row],[FECHA DE NACIMIENTO]])</f>
        <v>28</v>
      </c>
      <c r="AM7" s="45">
        <v>15223</v>
      </c>
      <c r="AN7" s="46">
        <v>44942</v>
      </c>
      <c r="AO7" s="47">
        <v>69000000</v>
      </c>
      <c r="AP7" s="45"/>
      <c r="AQ7" s="45"/>
      <c r="AR7" s="45"/>
      <c r="AS7" s="51">
        <v>69000000</v>
      </c>
      <c r="AT7" s="45" t="s">
        <v>75</v>
      </c>
      <c r="AU7" s="46">
        <v>44942</v>
      </c>
      <c r="AV7" s="52" t="s">
        <v>74</v>
      </c>
      <c r="AW7" s="46">
        <v>44942</v>
      </c>
      <c r="AX7" s="46">
        <v>45290</v>
      </c>
      <c r="AY7" s="44">
        <f t="shared" si="0"/>
        <v>348</v>
      </c>
      <c r="AZ7" s="45" t="s">
        <v>206</v>
      </c>
      <c r="BA7" s="45">
        <v>19462757</v>
      </c>
      <c r="BB7" s="47"/>
      <c r="BC7" s="49"/>
      <c r="BD7" s="45"/>
      <c r="BE7" s="45"/>
      <c r="BF7" s="45"/>
      <c r="BG7" s="49"/>
      <c r="BH7" s="45"/>
      <c r="BI7" s="49"/>
      <c r="BJ7" s="47">
        <f>(Tabla13[[#This Row],[VALOR TOTAL CONTRATO + VF]]+Tabla13[[#This Row],[ADICION 1 ]]+Tabla13[[#This Row],[ADICION 2]]-Tabla13[[#This Row],[LIBERACION]])</f>
        <v>69000000</v>
      </c>
      <c r="BK7" s="45"/>
      <c r="BL7" s="49"/>
      <c r="BM7" s="49"/>
      <c r="BN7" s="45"/>
      <c r="BO7" s="45"/>
      <c r="BP7" s="49"/>
      <c r="BQ7" s="45"/>
      <c r="BR7" s="47"/>
      <c r="BS7" s="49"/>
      <c r="BT7" s="45">
        <f t="shared" si="1"/>
        <v>348</v>
      </c>
      <c r="BU7" s="49"/>
      <c r="BV7" s="52"/>
    </row>
    <row r="8" spans="1:74" ht="15" customHeight="1" x14ac:dyDescent="0.25">
      <c r="A8" s="42" t="s">
        <v>459</v>
      </c>
      <c r="B8" s="43" t="s">
        <v>460</v>
      </c>
      <c r="C8" s="44" t="s">
        <v>54</v>
      </c>
      <c r="D8" s="45">
        <v>1</v>
      </c>
      <c r="E8" s="45" t="s">
        <v>55</v>
      </c>
      <c r="F8" s="45" t="s">
        <v>98</v>
      </c>
      <c r="G8" s="45" t="s">
        <v>102</v>
      </c>
      <c r="H8" s="45" t="s">
        <v>57</v>
      </c>
      <c r="I8" s="46">
        <v>44939</v>
      </c>
      <c r="J8" s="45" t="s">
        <v>59</v>
      </c>
      <c r="K8" s="45" t="s">
        <v>60</v>
      </c>
      <c r="L8" s="45" t="s">
        <v>99</v>
      </c>
      <c r="M8" s="45" t="s">
        <v>100</v>
      </c>
      <c r="N8" s="45">
        <v>80161504</v>
      </c>
      <c r="O8" s="45" t="s">
        <v>62</v>
      </c>
      <c r="P8" s="47">
        <v>86250000</v>
      </c>
      <c r="Q8" s="47">
        <v>86250000</v>
      </c>
      <c r="R8" s="45">
        <v>13923</v>
      </c>
      <c r="S8" s="45" t="s">
        <v>63</v>
      </c>
      <c r="T8" s="45" t="s">
        <v>64</v>
      </c>
      <c r="U8" s="45" t="s">
        <v>65</v>
      </c>
      <c r="V8" s="45"/>
      <c r="W8" s="45" t="s">
        <v>66</v>
      </c>
      <c r="X8" s="45" t="s">
        <v>57</v>
      </c>
      <c r="Y8" s="46">
        <v>44939</v>
      </c>
      <c r="Z8" s="45" t="s">
        <v>67</v>
      </c>
      <c r="AA8" s="45"/>
      <c r="AB8" s="45" t="s">
        <v>68</v>
      </c>
      <c r="AC8" s="45" t="s">
        <v>69</v>
      </c>
      <c r="AD8" s="45" t="s">
        <v>419</v>
      </c>
      <c r="AE8" s="45">
        <v>91517570</v>
      </c>
      <c r="AF8" s="45"/>
      <c r="AG8" s="45"/>
      <c r="AH8" s="45"/>
      <c r="AI8" s="45"/>
      <c r="AJ8" s="45"/>
      <c r="AK8" s="45"/>
      <c r="AL8" s="50">
        <f ca="1">+YEAR(TODAY())-YEAR(Tabla13[[#This Row],[FECHA DE NACIMIENTO]])</f>
        <v>123</v>
      </c>
      <c r="AM8" s="45">
        <v>15123</v>
      </c>
      <c r="AN8" s="46">
        <v>44942</v>
      </c>
      <c r="AO8" s="47">
        <v>86250000</v>
      </c>
      <c r="AP8" s="45"/>
      <c r="AQ8" s="45"/>
      <c r="AR8" s="45"/>
      <c r="AS8" s="51">
        <v>86250000</v>
      </c>
      <c r="AT8" s="45" t="s">
        <v>75</v>
      </c>
      <c r="AU8" s="46">
        <v>44942</v>
      </c>
      <c r="AV8" s="52" t="s">
        <v>74</v>
      </c>
      <c r="AW8" s="46">
        <v>44942</v>
      </c>
      <c r="AX8" s="46">
        <v>45291</v>
      </c>
      <c r="AY8" s="44">
        <f t="shared" si="0"/>
        <v>349</v>
      </c>
      <c r="AZ8" s="45" t="s">
        <v>437</v>
      </c>
      <c r="BA8" s="45">
        <v>393757630</v>
      </c>
      <c r="BB8" s="47"/>
      <c r="BC8" s="49"/>
      <c r="BD8" s="45"/>
      <c r="BE8" s="45"/>
      <c r="BF8" s="45"/>
      <c r="BG8" s="49"/>
      <c r="BH8" s="45"/>
      <c r="BI8" s="49"/>
      <c r="BJ8" s="47">
        <f>(Tabla13[[#This Row],[VALOR TOTAL CONTRATO + VF]]+Tabla13[[#This Row],[ADICION 1 ]]+Tabla13[[#This Row],[ADICION 2]]-Tabla13[[#This Row],[LIBERACION]])</f>
        <v>86250000</v>
      </c>
      <c r="BK8" s="45"/>
      <c r="BL8" s="49"/>
      <c r="BM8" s="49"/>
      <c r="BN8" s="45"/>
      <c r="BO8" s="45"/>
      <c r="BP8" s="49"/>
      <c r="BQ8" s="45"/>
      <c r="BR8" s="47"/>
      <c r="BS8" s="49"/>
      <c r="BT8" s="45">
        <f t="shared" si="1"/>
        <v>349</v>
      </c>
      <c r="BU8" s="49"/>
      <c r="BV8" s="52"/>
    </row>
    <row r="9" spans="1:74" ht="15" customHeight="1" x14ac:dyDescent="0.25">
      <c r="A9" s="42" t="s">
        <v>459</v>
      </c>
      <c r="B9" s="43" t="s">
        <v>460</v>
      </c>
      <c r="C9" s="44" t="s">
        <v>54</v>
      </c>
      <c r="D9" s="45">
        <v>12</v>
      </c>
      <c r="E9" s="45" t="s">
        <v>409</v>
      </c>
      <c r="F9" s="45" t="s">
        <v>346</v>
      </c>
      <c r="G9" s="45" t="s">
        <v>347</v>
      </c>
      <c r="H9" s="45" t="s">
        <v>57</v>
      </c>
      <c r="I9" s="46">
        <v>44939</v>
      </c>
      <c r="J9" s="45" t="s">
        <v>59</v>
      </c>
      <c r="K9" s="45" t="s">
        <v>60</v>
      </c>
      <c r="L9" s="45" t="s">
        <v>150</v>
      </c>
      <c r="M9" s="45" t="s">
        <v>348</v>
      </c>
      <c r="N9" s="45" t="s">
        <v>733</v>
      </c>
      <c r="O9" s="45" t="s">
        <v>734</v>
      </c>
      <c r="P9" s="47">
        <v>69000000</v>
      </c>
      <c r="Q9" s="47">
        <v>69000000</v>
      </c>
      <c r="R9" s="45">
        <v>10423</v>
      </c>
      <c r="S9" s="45" t="s">
        <v>349</v>
      </c>
      <c r="T9" s="45" t="s">
        <v>64</v>
      </c>
      <c r="U9" s="45" t="s">
        <v>65</v>
      </c>
      <c r="V9" s="45"/>
      <c r="W9" s="45" t="s">
        <v>350</v>
      </c>
      <c r="X9" s="45" t="s">
        <v>57</v>
      </c>
      <c r="Y9" s="46">
        <v>44944</v>
      </c>
      <c r="Z9" s="45" t="s">
        <v>67</v>
      </c>
      <c r="AA9" s="45"/>
      <c r="AB9" s="45" t="s">
        <v>68</v>
      </c>
      <c r="AC9" s="45" t="s">
        <v>69</v>
      </c>
      <c r="AD9" s="45" t="s">
        <v>432</v>
      </c>
      <c r="AE9" s="45">
        <v>42867450</v>
      </c>
      <c r="AF9" s="45"/>
      <c r="AG9" s="45" t="s">
        <v>735</v>
      </c>
      <c r="AH9" s="45" t="s">
        <v>551</v>
      </c>
      <c r="AI9" s="45"/>
      <c r="AJ9" s="45"/>
      <c r="AK9" s="45">
        <v>21273</v>
      </c>
      <c r="AL9" s="50" t="e">
        <f ca="1">+YEAR(TODAY())-YEAR([1]!Tabla1[[#This Row],[FECHA DE NACIMIENTO]])</f>
        <v>#REF!</v>
      </c>
      <c r="AM9" s="45">
        <v>20023</v>
      </c>
      <c r="AN9" s="46">
        <v>44945</v>
      </c>
      <c r="AO9" s="47">
        <v>69000000</v>
      </c>
      <c r="AP9" s="45"/>
      <c r="AQ9" s="45"/>
      <c r="AR9" s="45"/>
      <c r="AS9" s="51">
        <f>SUM(AO9+AP9+AQ9+AR9)</f>
        <v>69000000</v>
      </c>
      <c r="AT9" s="45" t="s">
        <v>75</v>
      </c>
      <c r="AU9" s="46">
        <v>44945</v>
      </c>
      <c r="AV9" s="52" t="s">
        <v>74</v>
      </c>
      <c r="AW9" s="46">
        <v>44946</v>
      </c>
      <c r="AX9" s="46">
        <v>45291</v>
      </c>
      <c r="AY9" s="44">
        <f t="shared" si="0"/>
        <v>345</v>
      </c>
      <c r="AZ9" s="45" t="s">
        <v>156</v>
      </c>
      <c r="BA9" s="45">
        <v>79276876</v>
      </c>
      <c r="BB9" s="47"/>
      <c r="BC9" s="49"/>
      <c r="BD9" s="45"/>
      <c r="BE9" s="45"/>
      <c r="BF9" s="45"/>
      <c r="BG9" s="49"/>
      <c r="BH9" s="45"/>
      <c r="BI9" s="49"/>
      <c r="BJ9" s="47" t="e">
        <f>([1]!Tabla1[[#This Row],[VALOR TOTAL CONTRATO + VF]]+[1]!Tabla1[[#This Row],[ADICION 1 ]]+[1]!Tabla1[[#This Row],[ADICION 2]]-[1]!Tabla1[[#This Row],[LIBERACION]])</f>
        <v>#REF!</v>
      </c>
      <c r="BK9" s="45"/>
      <c r="BL9" s="49"/>
      <c r="BM9" s="49"/>
      <c r="BN9" s="45"/>
      <c r="BO9" s="45"/>
      <c r="BP9" s="49"/>
      <c r="BQ9" s="45"/>
      <c r="BR9" s="47"/>
      <c r="BS9" s="49"/>
      <c r="BT9" s="45">
        <f t="shared" si="1"/>
        <v>345</v>
      </c>
      <c r="BU9" s="49"/>
      <c r="BV9" s="52"/>
    </row>
    <row r="10" spans="1:74" ht="15" customHeight="1" x14ac:dyDescent="0.25">
      <c r="A10" s="42" t="s">
        <v>459</v>
      </c>
      <c r="B10" s="43" t="s">
        <v>460</v>
      </c>
      <c r="C10" s="44" t="s">
        <v>54</v>
      </c>
      <c r="D10" s="45">
        <v>9</v>
      </c>
      <c r="E10" s="45" t="s">
        <v>409</v>
      </c>
      <c r="F10" s="45" t="s">
        <v>351</v>
      </c>
      <c r="G10" s="45" t="s">
        <v>352</v>
      </c>
      <c r="H10" s="45" t="s">
        <v>57</v>
      </c>
      <c r="I10" s="46">
        <v>44939</v>
      </c>
      <c r="J10" s="45" t="s">
        <v>59</v>
      </c>
      <c r="K10" s="45" t="s">
        <v>60</v>
      </c>
      <c r="L10" s="45" t="s">
        <v>150</v>
      </c>
      <c r="M10" s="45" t="s">
        <v>353</v>
      </c>
      <c r="N10" s="45" t="s">
        <v>736</v>
      </c>
      <c r="O10" s="45" t="s">
        <v>734</v>
      </c>
      <c r="P10" s="47">
        <v>69000000</v>
      </c>
      <c r="Q10" s="47">
        <v>69000000</v>
      </c>
      <c r="R10" s="45">
        <v>12323</v>
      </c>
      <c r="S10" s="45" t="s">
        <v>349</v>
      </c>
      <c r="T10" s="45" t="s">
        <v>64</v>
      </c>
      <c r="U10" s="45" t="s">
        <v>65</v>
      </c>
      <c r="V10" s="45"/>
      <c r="W10" s="45" t="s">
        <v>354</v>
      </c>
      <c r="X10" s="45" t="s">
        <v>57</v>
      </c>
      <c r="Y10" s="46">
        <v>44943</v>
      </c>
      <c r="Z10" s="45" t="s">
        <v>67</v>
      </c>
      <c r="AA10" s="45"/>
      <c r="AB10" s="45" t="s">
        <v>68</v>
      </c>
      <c r="AC10" s="45" t="s">
        <v>69</v>
      </c>
      <c r="AD10" s="45" t="s">
        <v>433</v>
      </c>
      <c r="AE10" s="45">
        <v>93461864</v>
      </c>
      <c r="AF10" s="45"/>
      <c r="AG10" s="45" t="s">
        <v>737</v>
      </c>
      <c r="AH10" s="45" t="s">
        <v>551</v>
      </c>
      <c r="AI10" s="45"/>
      <c r="AJ10" s="45"/>
      <c r="AK10" s="45">
        <v>31076</v>
      </c>
      <c r="AL10" s="50" t="e">
        <f ca="1">+YEAR(TODAY())-YEAR([1]!Tabla1[[#This Row],[FECHA DE NACIMIENTO]])</f>
        <v>#REF!</v>
      </c>
      <c r="AM10" s="45">
        <v>16523</v>
      </c>
      <c r="AN10" s="46">
        <v>44943</v>
      </c>
      <c r="AO10" s="47">
        <v>69000000</v>
      </c>
      <c r="AP10" s="45"/>
      <c r="AQ10" s="45"/>
      <c r="AR10" s="45"/>
      <c r="AS10" s="51">
        <f>SUM(AO10+AP10+AQ10+AR10)</f>
        <v>69000000</v>
      </c>
      <c r="AT10" s="45" t="s">
        <v>75</v>
      </c>
      <c r="AU10" s="46">
        <v>44943</v>
      </c>
      <c r="AV10" s="52" t="s">
        <v>74</v>
      </c>
      <c r="AW10" s="46">
        <v>44944</v>
      </c>
      <c r="AX10" s="46">
        <v>45291</v>
      </c>
      <c r="AY10" s="44">
        <f t="shared" si="0"/>
        <v>347</v>
      </c>
      <c r="AZ10" s="45" t="s">
        <v>156</v>
      </c>
      <c r="BA10" s="45">
        <v>79276876</v>
      </c>
      <c r="BB10" s="47"/>
      <c r="BC10" s="49"/>
      <c r="BD10" s="45"/>
      <c r="BE10" s="45"/>
      <c r="BF10" s="45"/>
      <c r="BG10" s="49"/>
      <c r="BH10" s="45"/>
      <c r="BI10" s="49"/>
      <c r="BJ10" s="47" t="e">
        <f>([1]!Tabla1[[#This Row],[VALOR TOTAL CONTRATO + VF]]+[1]!Tabla1[[#This Row],[ADICION 1 ]]+[1]!Tabla1[[#This Row],[ADICION 2]]-[1]!Tabla1[[#This Row],[LIBERACION]])</f>
        <v>#REF!</v>
      </c>
      <c r="BK10" s="45"/>
      <c r="BL10" s="49"/>
      <c r="BM10" s="49"/>
      <c r="BN10" s="45"/>
      <c r="BO10" s="45"/>
      <c r="BP10" s="49"/>
      <c r="BQ10" s="45"/>
      <c r="BR10" s="47"/>
      <c r="BS10" s="49"/>
      <c r="BT10" s="45">
        <f t="shared" si="1"/>
        <v>347</v>
      </c>
      <c r="BU10" s="49"/>
      <c r="BV10" s="52"/>
    </row>
    <row r="11" spans="1:74" ht="15" customHeight="1" x14ac:dyDescent="0.25">
      <c r="A11" s="42" t="s">
        <v>459</v>
      </c>
      <c r="B11" s="43" t="s">
        <v>460</v>
      </c>
      <c r="C11" s="44" t="s">
        <v>54</v>
      </c>
      <c r="D11" s="45">
        <v>14</v>
      </c>
      <c r="E11" s="45" t="s">
        <v>409</v>
      </c>
      <c r="F11" s="45" t="s">
        <v>355</v>
      </c>
      <c r="G11" s="45" t="s">
        <v>356</v>
      </c>
      <c r="H11" s="45" t="s">
        <v>57</v>
      </c>
      <c r="I11" s="46">
        <v>44939</v>
      </c>
      <c r="J11" s="45" t="s">
        <v>59</v>
      </c>
      <c r="K11" s="45" t="s">
        <v>60</v>
      </c>
      <c r="L11" s="45" t="s">
        <v>150</v>
      </c>
      <c r="M11" s="45" t="s">
        <v>357</v>
      </c>
      <c r="N11" s="45" t="s">
        <v>358</v>
      </c>
      <c r="O11" s="45" t="s">
        <v>734</v>
      </c>
      <c r="P11" s="47">
        <v>57500000</v>
      </c>
      <c r="Q11" s="47">
        <v>57500000</v>
      </c>
      <c r="R11" s="45">
        <v>11123</v>
      </c>
      <c r="S11" s="45" t="s">
        <v>349</v>
      </c>
      <c r="T11" s="45" t="s">
        <v>64</v>
      </c>
      <c r="U11" s="45" t="s">
        <v>65</v>
      </c>
      <c r="V11" s="45"/>
      <c r="W11" s="45" t="s">
        <v>359</v>
      </c>
      <c r="X11" s="45" t="s">
        <v>57</v>
      </c>
      <c r="Y11" s="46">
        <v>44943</v>
      </c>
      <c r="Z11" s="45" t="s">
        <v>67</v>
      </c>
      <c r="AA11" s="45"/>
      <c r="AB11" s="45" t="s">
        <v>68</v>
      </c>
      <c r="AC11" s="45" t="s">
        <v>69</v>
      </c>
      <c r="AD11" s="45" t="s">
        <v>434</v>
      </c>
      <c r="AE11" s="45">
        <v>1019022177</v>
      </c>
      <c r="AF11" s="45"/>
      <c r="AG11" s="45" t="s">
        <v>738</v>
      </c>
      <c r="AH11" s="45" t="s">
        <v>551</v>
      </c>
      <c r="AI11" s="45"/>
      <c r="AJ11" s="45"/>
      <c r="AK11" s="45">
        <v>32190</v>
      </c>
      <c r="AL11" s="50" t="e">
        <f ca="1">+YEAR(TODAY())-YEAR([1]!Tabla1[[#This Row],[FECHA DE NACIMIENTO]])</f>
        <v>#REF!</v>
      </c>
      <c r="AM11" s="45">
        <v>16623</v>
      </c>
      <c r="AN11" s="46">
        <v>44943</v>
      </c>
      <c r="AO11" s="47">
        <v>57500000</v>
      </c>
      <c r="AP11" s="45"/>
      <c r="AQ11" s="45"/>
      <c r="AR11" s="45"/>
      <c r="AS11" s="51">
        <f>SUM(AO11+AP11+AQ11+AR11)</f>
        <v>57500000</v>
      </c>
      <c r="AT11" s="45" t="s">
        <v>75</v>
      </c>
      <c r="AU11" s="46">
        <v>44945</v>
      </c>
      <c r="AV11" s="52" t="s">
        <v>74</v>
      </c>
      <c r="AW11" s="46">
        <v>44943</v>
      </c>
      <c r="AX11" s="46">
        <v>45291</v>
      </c>
      <c r="AY11" s="44">
        <f t="shared" si="0"/>
        <v>348</v>
      </c>
      <c r="AZ11" s="45" t="s">
        <v>156</v>
      </c>
      <c r="BA11" s="45">
        <v>79276876</v>
      </c>
      <c r="BB11" s="47"/>
      <c r="BC11" s="49"/>
      <c r="BD11" s="45"/>
      <c r="BE11" s="45"/>
      <c r="BF11" s="45"/>
      <c r="BG11" s="49"/>
      <c r="BH11" s="45"/>
      <c r="BI11" s="49"/>
      <c r="BJ11" s="47" t="e">
        <f>([1]!Tabla1[[#This Row],[VALOR TOTAL CONTRATO + VF]]+[1]!Tabla1[[#This Row],[ADICION 1 ]]+[1]!Tabla1[[#This Row],[ADICION 2]]-[1]!Tabla1[[#This Row],[LIBERACION]])</f>
        <v>#REF!</v>
      </c>
      <c r="BK11" s="45"/>
      <c r="BL11" s="49"/>
      <c r="BM11" s="49"/>
      <c r="BN11" s="45"/>
      <c r="BO11" s="45"/>
      <c r="BP11" s="49"/>
      <c r="BQ11" s="45"/>
      <c r="BR11" s="47"/>
      <c r="BS11" s="49"/>
      <c r="BT11" s="45">
        <f t="shared" si="1"/>
        <v>348</v>
      </c>
      <c r="BU11" s="49"/>
      <c r="BV11" s="52"/>
    </row>
    <row r="12" spans="1:74" ht="15" customHeight="1" x14ac:dyDescent="0.25">
      <c r="A12" s="42" t="s">
        <v>459</v>
      </c>
      <c r="B12" s="43" t="s">
        <v>460</v>
      </c>
      <c r="C12" s="44" t="s">
        <v>54</v>
      </c>
      <c r="D12" s="45">
        <v>116</v>
      </c>
      <c r="E12" s="45" t="s">
        <v>221</v>
      </c>
      <c r="F12" s="45" t="s">
        <v>186</v>
      </c>
      <c r="G12" s="45" t="s">
        <v>187</v>
      </c>
      <c r="H12" s="45" t="s">
        <v>57</v>
      </c>
      <c r="I12" s="46">
        <v>44939</v>
      </c>
      <c r="J12" s="45" t="s">
        <v>59</v>
      </c>
      <c r="K12" s="45" t="s">
        <v>60</v>
      </c>
      <c r="L12" s="45" t="s">
        <v>188</v>
      </c>
      <c r="M12" s="45" t="s">
        <v>189</v>
      </c>
      <c r="N12" s="45">
        <v>80161504</v>
      </c>
      <c r="O12" s="45" t="s">
        <v>138</v>
      </c>
      <c r="P12" s="47">
        <v>80000000</v>
      </c>
      <c r="Q12" s="47">
        <v>80000000</v>
      </c>
      <c r="R12" s="45">
        <v>12823</v>
      </c>
      <c r="S12" s="45" t="s">
        <v>63</v>
      </c>
      <c r="T12" s="45" t="s">
        <v>64</v>
      </c>
      <c r="U12" s="45" t="s">
        <v>65</v>
      </c>
      <c r="V12" s="45"/>
      <c r="W12" s="45" t="s">
        <v>190</v>
      </c>
      <c r="X12" s="45" t="s">
        <v>57</v>
      </c>
      <c r="Y12" s="46">
        <v>44943</v>
      </c>
      <c r="Z12" s="45" t="s">
        <v>67</v>
      </c>
      <c r="AA12" s="45"/>
      <c r="AB12" s="45" t="s">
        <v>68</v>
      </c>
      <c r="AC12" s="45" t="s">
        <v>69</v>
      </c>
      <c r="AD12" s="45" t="s">
        <v>191</v>
      </c>
      <c r="AE12" s="45">
        <v>1026271334</v>
      </c>
      <c r="AF12" s="45" t="s">
        <v>141</v>
      </c>
      <c r="AG12" s="45" t="s">
        <v>605</v>
      </c>
      <c r="AH12" s="45" t="s">
        <v>551</v>
      </c>
      <c r="AI12" s="45" t="s">
        <v>467</v>
      </c>
      <c r="AJ12" s="48" t="s">
        <v>517</v>
      </c>
      <c r="AK12" s="49">
        <v>33178</v>
      </c>
      <c r="AL12" s="50">
        <f ca="1">+YEAR(TODAY())-YEAR(Tabla13[[#This Row],[FECHA DE NACIMIENTO]])</f>
        <v>33</v>
      </c>
      <c r="AM12" s="45">
        <v>19323</v>
      </c>
      <c r="AN12" s="46">
        <v>44944</v>
      </c>
      <c r="AO12" s="47">
        <v>80000000</v>
      </c>
      <c r="AP12" s="45"/>
      <c r="AQ12" s="45"/>
      <c r="AR12" s="45"/>
      <c r="AS12" s="51">
        <v>80000000</v>
      </c>
      <c r="AT12" s="45" t="s">
        <v>75</v>
      </c>
      <c r="AU12" s="46">
        <v>44944</v>
      </c>
      <c r="AV12" s="52" t="s">
        <v>74</v>
      </c>
      <c r="AW12" s="46">
        <v>44945</v>
      </c>
      <c r="AX12" s="46">
        <v>45249</v>
      </c>
      <c r="AY12" s="44">
        <f t="shared" si="0"/>
        <v>304</v>
      </c>
      <c r="AZ12" s="45" t="s">
        <v>192</v>
      </c>
      <c r="BA12" s="45">
        <v>79321317</v>
      </c>
      <c r="BB12" s="47"/>
      <c r="BC12" s="49"/>
      <c r="BD12" s="45"/>
      <c r="BE12" s="45"/>
      <c r="BF12" s="45"/>
      <c r="BG12" s="49"/>
      <c r="BH12" s="45"/>
      <c r="BI12" s="49"/>
      <c r="BJ12" s="47">
        <f>(Tabla13[[#This Row],[VALOR TOTAL CONTRATO + VF]]+Tabla13[[#This Row],[ADICION 1 ]]+Tabla13[[#This Row],[ADICION 2]]-Tabla13[[#This Row],[LIBERACION]])</f>
        <v>80000000</v>
      </c>
      <c r="BK12" s="45"/>
      <c r="BL12" s="49"/>
      <c r="BM12" s="49"/>
      <c r="BN12" s="45"/>
      <c r="BO12" s="45"/>
      <c r="BP12" s="49"/>
      <c r="BQ12" s="45"/>
      <c r="BR12" s="47"/>
      <c r="BS12" s="49"/>
      <c r="BT12" s="45">
        <f t="shared" si="1"/>
        <v>304</v>
      </c>
      <c r="BU12" s="49"/>
      <c r="BV12" s="52"/>
    </row>
    <row r="13" spans="1:74" ht="15" customHeight="1" x14ac:dyDescent="0.25">
      <c r="A13" s="42" t="s">
        <v>459</v>
      </c>
      <c r="B13" s="43" t="s">
        <v>460</v>
      </c>
      <c r="C13" s="44" t="s">
        <v>54</v>
      </c>
      <c r="D13" s="45">
        <v>164</v>
      </c>
      <c r="E13" s="45" t="s">
        <v>221</v>
      </c>
      <c r="F13" s="45" t="s">
        <v>193</v>
      </c>
      <c r="G13" s="45" t="s">
        <v>194</v>
      </c>
      <c r="H13" s="45" t="s">
        <v>57</v>
      </c>
      <c r="I13" s="46">
        <v>44939</v>
      </c>
      <c r="J13" s="45" t="s">
        <v>59</v>
      </c>
      <c r="K13" s="45" t="s">
        <v>60</v>
      </c>
      <c r="L13" s="45" t="s">
        <v>61</v>
      </c>
      <c r="M13" s="45" t="s">
        <v>195</v>
      </c>
      <c r="N13" s="45">
        <v>80161504</v>
      </c>
      <c r="O13" s="45" t="s">
        <v>138</v>
      </c>
      <c r="P13" s="47">
        <v>69000000</v>
      </c>
      <c r="Q13" s="47">
        <v>69000000</v>
      </c>
      <c r="R13" s="45">
        <v>13723</v>
      </c>
      <c r="S13" s="45" t="s">
        <v>63</v>
      </c>
      <c r="T13" s="45" t="s">
        <v>64</v>
      </c>
      <c r="U13" s="45" t="s">
        <v>65</v>
      </c>
      <c r="V13" s="45"/>
      <c r="W13" s="45" t="s">
        <v>196</v>
      </c>
      <c r="X13" s="45" t="s">
        <v>57</v>
      </c>
      <c r="Y13" s="46">
        <v>44942</v>
      </c>
      <c r="Z13" s="45" t="s">
        <v>67</v>
      </c>
      <c r="AA13" s="45"/>
      <c r="AB13" s="45" t="s">
        <v>68</v>
      </c>
      <c r="AC13" s="45" t="s">
        <v>69</v>
      </c>
      <c r="AD13" s="45" t="s">
        <v>197</v>
      </c>
      <c r="AE13" s="45">
        <v>19484940</v>
      </c>
      <c r="AF13" s="45" t="s">
        <v>141</v>
      </c>
      <c r="AG13" s="45" t="s">
        <v>606</v>
      </c>
      <c r="AH13" s="45" t="s">
        <v>551</v>
      </c>
      <c r="AI13" s="45" t="s">
        <v>467</v>
      </c>
      <c r="AJ13" s="48" t="s">
        <v>517</v>
      </c>
      <c r="AK13" s="49">
        <v>22856</v>
      </c>
      <c r="AL13" s="50">
        <f ca="1">+YEAR(TODAY())-YEAR(Tabla13[[#This Row],[FECHA DE NACIMIENTO]])</f>
        <v>61</v>
      </c>
      <c r="AM13" s="45">
        <v>16423</v>
      </c>
      <c r="AN13" s="46">
        <v>44943</v>
      </c>
      <c r="AO13" s="47">
        <v>69000000</v>
      </c>
      <c r="AP13" s="45"/>
      <c r="AQ13" s="45"/>
      <c r="AR13" s="45"/>
      <c r="AS13" s="51">
        <v>69000000</v>
      </c>
      <c r="AT13" s="45" t="s">
        <v>75</v>
      </c>
      <c r="AU13" s="46">
        <v>44944</v>
      </c>
      <c r="AV13" s="52" t="s">
        <v>74</v>
      </c>
      <c r="AW13" s="46">
        <v>44944</v>
      </c>
      <c r="AX13" s="46">
        <v>45291</v>
      </c>
      <c r="AY13" s="44">
        <f t="shared" si="0"/>
        <v>347</v>
      </c>
      <c r="AZ13" s="45" t="s">
        <v>198</v>
      </c>
      <c r="BA13" s="45">
        <v>39759737</v>
      </c>
      <c r="BB13" s="47"/>
      <c r="BC13" s="49"/>
      <c r="BD13" s="45"/>
      <c r="BE13" s="45"/>
      <c r="BF13" s="45"/>
      <c r="BG13" s="49"/>
      <c r="BH13" s="45"/>
      <c r="BI13" s="49"/>
      <c r="BJ13" s="47">
        <f>(Tabla13[[#This Row],[VALOR TOTAL CONTRATO + VF]]+Tabla13[[#This Row],[ADICION 1 ]]+Tabla13[[#This Row],[ADICION 2]]-Tabla13[[#This Row],[LIBERACION]])</f>
        <v>69000000</v>
      </c>
      <c r="BK13" s="45"/>
      <c r="BL13" s="49"/>
      <c r="BM13" s="49"/>
      <c r="BN13" s="45"/>
      <c r="BO13" s="45"/>
      <c r="BP13" s="49"/>
      <c r="BQ13" s="45"/>
      <c r="BR13" s="47"/>
      <c r="BS13" s="49"/>
      <c r="BT13" s="45">
        <f t="shared" si="1"/>
        <v>347</v>
      </c>
      <c r="BU13" s="49"/>
      <c r="BV13" s="52"/>
    </row>
    <row r="14" spans="1:74" ht="15" customHeight="1" x14ac:dyDescent="0.25">
      <c r="A14" s="42" t="s">
        <v>459</v>
      </c>
      <c r="B14" s="43" t="s">
        <v>460</v>
      </c>
      <c r="C14" s="44" t="s">
        <v>54</v>
      </c>
      <c r="D14" s="45">
        <v>271</v>
      </c>
      <c r="E14" s="45" t="s">
        <v>221</v>
      </c>
      <c r="F14" s="45" t="s">
        <v>213</v>
      </c>
      <c r="G14" s="45" t="s">
        <v>214</v>
      </c>
      <c r="H14" s="45" t="s">
        <v>57</v>
      </c>
      <c r="I14" s="46">
        <v>44939</v>
      </c>
      <c r="J14" s="45" t="s">
        <v>59</v>
      </c>
      <c r="K14" s="45" t="s">
        <v>60</v>
      </c>
      <c r="L14" s="45" t="s">
        <v>215</v>
      </c>
      <c r="M14" s="45" t="s">
        <v>216</v>
      </c>
      <c r="N14" s="45" t="s">
        <v>217</v>
      </c>
      <c r="O14" s="45" t="s">
        <v>218</v>
      </c>
      <c r="P14" s="47">
        <v>69000000</v>
      </c>
      <c r="Q14" s="47">
        <v>69000000</v>
      </c>
      <c r="R14" s="45">
        <v>4223</v>
      </c>
      <c r="S14" s="45" t="s">
        <v>63</v>
      </c>
      <c r="T14" s="45" t="s">
        <v>64</v>
      </c>
      <c r="U14" s="45" t="s">
        <v>65</v>
      </c>
      <c r="V14" s="45"/>
      <c r="W14" s="45" t="s">
        <v>219</v>
      </c>
      <c r="X14" s="45" t="s">
        <v>57</v>
      </c>
      <c r="Y14" s="46">
        <v>44942</v>
      </c>
      <c r="Z14" s="45" t="s">
        <v>67</v>
      </c>
      <c r="AA14" s="45"/>
      <c r="AB14" s="45" t="s">
        <v>68</v>
      </c>
      <c r="AC14" s="45" t="s">
        <v>69</v>
      </c>
      <c r="AD14" s="45" t="s">
        <v>424</v>
      </c>
      <c r="AE14" s="45">
        <v>78750941</v>
      </c>
      <c r="AF14" s="45" t="s">
        <v>141</v>
      </c>
      <c r="AG14" s="45" t="s">
        <v>607</v>
      </c>
      <c r="AH14" s="45" t="s">
        <v>551</v>
      </c>
      <c r="AI14" s="45" t="s">
        <v>467</v>
      </c>
      <c r="AJ14" s="48" t="s">
        <v>517</v>
      </c>
      <c r="AK14" s="49">
        <v>28077</v>
      </c>
      <c r="AL14" s="50">
        <f ca="1">+YEAR(TODAY())-YEAR(Tabla13[[#This Row],[FECHA DE NACIMIENTO]])</f>
        <v>47</v>
      </c>
      <c r="AM14" s="45">
        <v>15823</v>
      </c>
      <c r="AN14" s="46">
        <v>44942</v>
      </c>
      <c r="AO14" s="47">
        <v>69000000</v>
      </c>
      <c r="AP14" s="45"/>
      <c r="AQ14" s="45"/>
      <c r="AR14" s="45"/>
      <c r="AS14" s="51">
        <v>69000000</v>
      </c>
      <c r="AT14" s="45" t="s">
        <v>75</v>
      </c>
      <c r="AU14" s="46">
        <v>44942</v>
      </c>
      <c r="AV14" s="52" t="s">
        <v>74</v>
      </c>
      <c r="AW14" s="46">
        <v>44943</v>
      </c>
      <c r="AX14" s="46">
        <v>45291</v>
      </c>
      <c r="AY14" s="44">
        <f t="shared" si="0"/>
        <v>348</v>
      </c>
      <c r="AZ14" s="45" t="s">
        <v>220</v>
      </c>
      <c r="BA14" s="45">
        <v>7183645</v>
      </c>
      <c r="BB14" s="47"/>
      <c r="BC14" s="49"/>
      <c r="BD14" s="45"/>
      <c r="BE14" s="45"/>
      <c r="BF14" s="45"/>
      <c r="BG14" s="49"/>
      <c r="BH14" s="45"/>
      <c r="BI14" s="49"/>
      <c r="BJ14" s="47">
        <f>(Tabla13[[#This Row],[VALOR TOTAL CONTRATO + VF]]+Tabla13[[#This Row],[ADICION 1 ]]+Tabla13[[#This Row],[ADICION 2]]-Tabla13[[#This Row],[LIBERACION]])</f>
        <v>69000000</v>
      </c>
      <c r="BK14" s="45"/>
      <c r="BL14" s="49"/>
      <c r="BM14" s="49"/>
      <c r="BN14" s="45"/>
      <c r="BO14" s="45"/>
      <c r="BP14" s="49"/>
      <c r="BQ14" s="45"/>
      <c r="BR14" s="47"/>
      <c r="BS14" s="49"/>
      <c r="BT14" s="45">
        <f t="shared" si="1"/>
        <v>348</v>
      </c>
      <c r="BU14" s="49"/>
      <c r="BV14" s="52"/>
    </row>
    <row r="15" spans="1:74" ht="15" customHeight="1" x14ac:dyDescent="0.25">
      <c r="A15" s="42" t="s">
        <v>459</v>
      </c>
      <c r="B15" s="43" t="s">
        <v>460</v>
      </c>
      <c r="C15" s="44" t="s">
        <v>54</v>
      </c>
      <c r="D15" s="45">
        <v>205</v>
      </c>
      <c r="E15" s="45" t="s">
        <v>345</v>
      </c>
      <c r="F15" s="45" t="s">
        <v>289</v>
      </c>
      <c r="G15" s="45" t="s">
        <v>985</v>
      </c>
      <c r="H15" s="45" t="s">
        <v>57</v>
      </c>
      <c r="I15" s="46">
        <v>44939</v>
      </c>
      <c r="J15" s="45" t="s">
        <v>59</v>
      </c>
      <c r="K15" s="45" t="s">
        <v>290</v>
      </c>
      <c r="L15" s="45" t="s">
        <v>291</v>
      </c>
      <c r="M15" s="45" t="s">
        <v>292</v>
      </c>
      <c r="N15" s="45">
        <v>80161500</v>
      </c>
      <c r="O15" s="45" t="s">
        <v>293</v>
      </c>
      <c r="P15" s="47">
        <v>44000000</v>
      </c>
      <c r="Q15" s="47">
        <v>44000000</v>
      </c>
      <c r="R15" s="45">
        <v>9723</v>
      </c>
      <c r="S15" s="45" t="s">
        <v>294</v>
      </c>
      <c r="T15" s="45" t="s">
        <v>64</v>
      </c>
      <c r="U15" s="45" t="s">
        <v>65</v>
      </c>
      <c r="V15" s="45"/>
      <c r="W15" s="45" t="s">
        <v>440</v>
      </c>
      <c r="X15" s="45" t="s">
        <v>57</v>
      </c>
      <c r="Y15" s="46">
        <v>44943</v>
      </c>
      <c r="Z15" s="45" t="s">
        <v>67</v>
      </c>
      <c r="AA15" s="45"/>
      <c r="AB15" s="45" t="s">
        <v>295</v>
      </c>
      <c r="AC15" s="45" t="s">
        <v>69</v>
      </c>
      <c r="AD15" s="45" t="s">
        <v>296</v>
      </c>
      <c r="AE15" s="45">
        <v>80880247</v>
      </c>
      <c r="AF15" s="45"/>
      <c r="AG15" s="45"/>
      <c r="AH15" s="45"/>
      <c r="AI15" s="45"/>
      <c r="AJ15" s="45"/>
      <c r="AK15" s="45"/>
      <c r="AL15" s="50">
        <f ca="1">+YEAR(TODAY())-YEAR(Tabla13[[#This Row],[FECHA DE NACIMIENTO]])</f>
        <v>123</v>
      </c>
      <c r="AM15" s="45">
        <v>15523</v>
      </c>
      <c r="AN15" s="46">
        <v>44942</v>
      </c>
      <c r="AO15" s="51">
        <v>44000000</v>
      </c>
      <c r="AP15" s="45"/>
      <c r="AQ15" s="45"/>
      <c r="AR15" s="45"/>
      <c r="AS15" s="51">
        <v>44000000</v>
      </c>
      <c r="AT15" s="45" t="s">
        <v>297</v>
      </c>
      <c r="AU15" s="46">
        <v>44943</v>
      </c>
      <c r="AV15" s="52" t="s">
        <v>74</v>
      </c>
      <c r="AW15" s="46">
        <v>44945</v>
      </c>
      <c r="AX15" s="46">
        <v>45291</v>
      </c>
      <c r="AY15" s="44">
        <f t="shared" si="0"/>
        <v>346</v>
      </c>
      <c r="AZ15" s="45" t="s">
        <v>298</v>
      </c>
      <c r="BA15" s="45">
        <v>52808564</v>
      </c>
      <c r="BB15" s="47"/>
      <c r="BC15" s="49"/>
      <c r="BD15" s="45"/>
      <c r="BE15" s="45"/>
      <c r="BF15" s="45"/>
      <c r="BG15" s="49"/>
      <c r="BH15" s="45"/>
      <c r="BI15" s="49"/>
      <c r="BJ15" s="47">
        <f>(Tabla13[[#This Row],[VALOR TOTAL CONTRATO + VF]]+Tabla13[[#This Row],[ADICION 1 ]]+Tabla13[[#This Row],[ADICION 2]]-Tabla13[[#This Row],[LIBERACION]])</f>
        <v>44000000</v>
      </c>
      <c r="BK15" s="45"/>
      <c r="BL15" s="49"/>
      <c r="BM15" s="49"/>
      <c r="BN15" s="45"/>
      <c r="BO15" s="45"/>
      <c r="BP15" s="49"/>
      <c r="BQ15" s="45"/>
      <c r="BR15" s="47"/>
      <c r="BS15" s="49"/>
      <c r="BT15" s="45">
        <f t="shared" si="1"/>
        <v>346</v>
      </c>
      <c r="BU15" s="49"/>
      <c r="BV15" s="52"/>
    </row>
    <row r="16" spans="1:74" ht="15" customHeight="1" x14ac:dyDescent="0.25">
      <c r="A16" s="42" t="s">
        <v>459</v>
      </c>
      <c r="B16" s="43" t="s">
        <v>460</v>
      </c>
      <c r="C16" s="44" t="s">
        <v>54</v>
      </c>
      <c r="D16" s="45">
        <v>204</v>
      </c>
      <c r="E16" s="45" t="s">
        <v>345</v>
      </c>
      <c r="F16" s="45" t="s">
        <v>299</v>
      </c>
      <c r="G16" s="45" t="s">
        <v>986</v>
      </c>
      <c r="H16" s="45" t="s">
        <v>57</v>
      </c>
      <c r="I16" s="46">
        <v>44939</v>
      </c>
      <c r="J16" s="45" t="s">
        <v>59</v>
      </c>
      <c r="K16" s="45" t="s">
        <v>290</v>
      </c>
      <c r="L16" s="45" t="s">
        <v>291</v>
      </c>
      <c r="M16" s="45" t="s">
        <v>300</v>
      </c>
      <c r="N16" s="45">
        <v>80161500</v>
      </c>
      <c r="O16" s="45" t="s">
        <v>293</v>
      </c>
      <c r="P16" s="47">
        <v>92000000</v>
      </c>
      <c r="Q16" s="47">
        <v>92000000</v>
      </c>
      <c r="R16" s="45">
        <v>12423</v>
      </c>
      <c r="S16" s="45" t="s">
        <v>294</v>
      </c>
      <c r="T16" s="45" t="s">
        <v>64</v>
      </c>
      <c r="U16" s="45" t="s">
        <v>65</v>
      </c>
      <c r="V16" s="45"/>
      <c r="W16" s="45" t="s">
        <v>441</v>
      </c>
      <c r="X16" s="45" t="s">
        <v>57</v>
      </c>
      <c r="Y16" s="46">
        <v>44943</v>
      </c>
      <c r="Z16" s="45" t="s">
        <v>67</v>
      </c>
      <c r="AA16" s="45"/>
      <c r="AB16" s="45" t="s">
        <v>295</v>
      </c>
      <c r="AC16" s="45" t="s">
        <v>69</v>
      </c>
      <c r="AD16" s="45" t="s">
        <v>301</v>
      </c>
      <c r="AE16" s="45">
        <v>1022367781</v>
      </c>
      <c r="AF16" s="45"/>
      <c r="AG16" s="45"/>
      <c r="AH16" s="45"/>
      <c r="AI16" s="45"/>
      <c r="AJ16" s="45"/>
      <c r="AK16" s="45"/>
      <c r="AL16" s="50">
        <f ca="1">+YEAR(TODAY())-YEAR(Tabla13[[#This Row],[FECHA DE NACIMIENTO]])</f>
        <v>123</v>
      </c>
      <c r="AM16" s="45">
        <v>15623</v>
      </c>
      <c r="AN16" s="46">
        <v>44942</v>
      </c>
      <c r="AO16" s="51">
        <v>92000000</v>
      </c>
      <c r="AP16" s="45"/>
      <c r="AQ16" s="45"/>
      <c r="AR16" s="45"/>
      <c r="AS16" s="51">
        <v>92000000</v>
      </c>
      <c r="AT16" s="45" t="s">
        <v>297</v>
      </c>
      <c r="AU16" s="46">
        <v>44943</v>
      </c>
      <c r="AV16" s="52" t="s">
        <v>74</v>
      </c>
      <c r="AW16" s="46">
        <v>44944</v>
      </c>
      <c r="AX16" s="46">
        <v>45291</v>
      </c>
      <c r="AY16" s="44">
        <f t="shared" si="0"/>
        <v>347</v>
      </c>
      <c r="AZ16" s="45" t="s">
        <v>298</v>
      </c>
      <c r="BA16" s="45">
        <v>52808564</v>
      </c>
      <c r="BB16" s="47"/>
      <c r="BC16" s="49"/>
      <c r="BD16" s="45"/>
      <c r="BE16" s="45"/>
      <c r="BF16" s="45"/>
      <c r="BG16" s="49"/>
      <c r="BH16" s="45"/>
      <c r="BI16" s="49"/>
      <c r="BJ16" s="47">
        <f>(Tabla13[[#This Row],[VALOR TOTAL CONTRATO + VF]]+Tabla13[[#This Row],[ADICION 1 ]]+Tabla13[[#This Row],[ADICION 2]]-Tabla13[[#This Row],[LIBERACION]])</f>
        <v>92000000</v>
      </c>
      <c r="BK16" s="45"/>
      <c r="BL16" s="49"/>
      <c r="BM16" s="49"/>
      <c r="BN16" s="45"/>
      <c r="BO16" s="45"/>
      <c r="BP16" s="49"/>
      <c r="BQ16" s="45"/>
      <c r="BR16" s="47"/>
      <c r="BS16" s="49"/>
      <c r="BT16" s="45">
        <f t="shared" si="1"/>
        <v>347</v>
      </c>
      <c r="BU16" s="49"/>
      <c r="BV16" s="52"/>
    </row>
    <row r="17" spans="1:74" ht="15" customHeight="1" x14ac:dyDescent="0.25">
      <c r="A17" s="42" t="s">
        <v>459</v>
      </c>
      <c r="B17" s="43" t="s">
        <v>460</v>
      </c>
      <c r="C17" s="44" t="s">
        <v>54</v>
      </c>
      <c r="D17" s="45">
        <v>209</v>
      </c>
      <c r="E17" s="45" t="s">
        <v>345</v>
      </c>
      <c r="F17" s="45" t="s">
        <v>302</v>
      </c>
      <c r="G17" s="45" t="s">
        <v>987</v>
      </c>
      <c r="H17" s="45" t="s">
        <v>57</v>
      </c>
      <c r="I17" s="46">
        <v>44939</v>
      </c>
      <c r="J17" s="45" t="s">
        <v>59</v>
      </c>
      <c r="K17" s="45" t="s">
        <v>290</v>
      </c>
      <c r="L17" s="45" t="s">
        <v>303</v>
      </c>
      <c r="M17" s="45" t="s">
        <v>304</v>
      </c>
      <c r="N17" s="45">
        <v>80161500</v>
      </c>
      <c r="O17" s="45" t="s">
        <v>293</v>
      </c>
      <c r="P17" s="47">
        <v>120750000</v>
      </c>
      <c r="Q17" s="47">
        <v>120750000</v>
      </c>
      <c r="R17" s="45">
        <v>10723</v>
      </c>
      <c r="S17" s="45" t="s">
        <v>305</v>
      </c>
      <c r="T17" s="45" t="s">
        <v>64</v>
      </c>
      <c r="U17" s="45" t="s">
        <v>65</v>
      </c>
      <c r="V17" s="45"/>
      <c r="W17" s="45" t="s">
        <v>442</v>
      </c>
      <c r="X17" s="45" t="s">
        <v>57</v>
      </c>
      <c r="Y17" s="46">
        <v>44942</v>
      </c>
      <c r="Z17" s="45" t="s">
        <v>67</v>
      </c>
      <c r="AA17" s="45"/>
      <c r="AB17" s="45" t="s">
        <v>295</v>
      </c>
      <c r="AC17" s="45" t="s">
        <v>69</v>
      </c>
      <c r="AD17" s="45" t="s">
        <v>306</v>
      </c>
      <c r="AE17" s="45">
        <v>52355684</v>
      </c>
      <c r="AF17" s="45"/>
      <c r="AG17" s="45"/>
      <c r="AH17" s="45"/>
      <c r="AI17" s="45"/>
      <c r="AJ17" s="45"/>
      <c r="AK17" s="45"/>
      <c r="AL17" s="50">
        <f ca="1">+YEAR(TODAY())-YEAR(Tabla13[[#This Row],[FECHA DE NACIMIENTO]])</f>
        <v>123</v>
      </c>
      <c r="AM17" s="45">
        <v>15723</v>
      </c>
      <c r="AN17" s="46">
        <v>44942</v>
      </c>
      <c r="AO17" s="51">
        <v>120750000</v>
      </c>
      <c r="AP17" s="45"/>
      <c r="AQ17" s="45"/>
      <c r="AR17" s="45"/>
      <c r="AS17" s="51">
        <v>120750000</v>
      </c>
      <c r="AT17" s="45" t="s">
        <v>297</v>
      </c>
      <c r="AU17" s="46">
        <v>44943</v>
      </c>
      <c r="AV17" s="52" t="s">
        <v>74</v>
      </c>
      <c r="AW17" s="46">
        <v>44943</v>
      </c>
      <c r="AX17" s="46">
        <v>45291</v>
      </c>
      <c r="AY17" s="44">
        <f t="shared" si="0"/>
        <v>348</v>
      </c>
      <c r="AZ17" s="45" t="s">
        <v>298</v>
      </c>
      <c r="BA17" s="45">
        <v>52808564</v>
      </c>
      <c r="BB17" s="47"/>
      <c r="BC17" s="49"/>
      <c r="BD17" s="45"/>
      <c r="BE17" s="45"/>
      <c r="BF17" s="45"/>
      <c r="BG17" s="49"/>
      <c r="BH17" s="45"/>
      <c r="BI17" s="49"/>
      <c r="BJ17" s="47">
        <f>(Tabla13[[#This Row],[VALOR TOTAL CONTRATO + VF]]+Tabla13[[#This Row],[ADICION 1 ]]+Tabla13[[#This Row],[ADICION 2]]-Tabla13[[#This Row],[LIBERACION]])</f>
        <v>120750000</v>
      </c>
      <c r="BK17" s="45"/>
      <c r="BL17" s="49"/>
      <c r="BM17" s="49"/>
      <c r="BN17" s="45"/>
      <c r="BO17" s="45"/>
      <c r="BP17" s="49"/>
      <c r="BQ17" s="45"/>
      <c r="BR17" s="47"/>
      <c r="BS17" s="49"/>
      <c r="BT17" s="45">
        <f t="shared" si="1"/>
        <v>348</v>
      </c>
      <c r="BU17" s="49"/>
      <c r="BV17" s="52"/>
    </row>
    <row r="18" spans="1:74" ht="15" customHeight="1" x14ac:dyDescent="0.25">
      <c r="A18" s="42" t="s">
        <v>459</v>
      </c>
      <c r="B18" s="43" t="s">
        <v>460</v>
      </c>
      <c r="C18" s="44" t="s">
        <v>54</v>
      </c>
      <c r="D18" s="45">
        <v>98</v>
      </c>
      <c r="E18" s="45" t="s">
        <v>55</v>
      </c>
      <c r="F18" s="45" t="s">
        <v>107</v>
      </c>
      <c r="G18" s="45" t="s">
        <v>108</v>
      </c>
      <c r="H18" s="45" t="s">
        <v>57</v>
      </c>
      <c r="I18" s="46">
        <v>44942</v>
      </c>
      <c r="J18" s="45" t="s">
        <v>59</v>
      </c>
      <c r="K18" s="45" t="s">
        <v>60</v>
      </c>
      <c r="L18" s="45" t="s">
        <v>86</v>
      </c>
      <c r="M18" s="45" t="s">
        <v>109</v>
      </c>
      <c r="N18" s="45">
        <v>80161500</v>
      </c>
      <c r="O18" s="45" t="s">
        <v>62</v>
      </c>
      <c r="P18" s="47">
        <v>86250000</v>
      </c>
      <c r="Q18" s="47">
        <v>86250000</v>
      </c>
      <c r="R18" s="45">
        <v>13223</v>
      </c>
      <c r="S18" s="45" t="s">
        <v>89</v>
      </c>
      <c r="T18" s="45" t="s">
        <v>64</v>
      </c>
      <c r="U18" s="45" t="s">
        <v>65</v>
      </c>
      <c r="V18" s="45"/>
      <c r="W18" s="45" t="s">
        <v>110</v>
      </c>
      <c r="X18" s="45" t="s">
        <v>57</v>
      </c>
      <c r="Y18" s="46">
        <v>44944</v>
      </c>
      <c r="Z18" s="45" t="s">
        <v>67</v>
      </c>
      <c r="AA18" s="45"/>
      <c r="AB18" s="45" t="s">
        <v>68</v>
      </c>
      <c r="AC18" s="45" t="s">
        <v>69</v>
      </c>
      <c r="AD18" s="45" t="s">
        <v>420</v>
      </c>
      <c r="AE18" s="45">
        <v>1010218162</v>
      </c>
      <c r="AF18" s="45"/>
      <c r="AG18" s="45"/>
      <c r="AH18" s="45"/>
      <c r="AI18" s="45"/>
      <c r="AJ18" s="45"/>
      <c r="AK18" s="45"/>
      <c r="AL18" s="50">
        <f ca="1">+YEAR(TODAY())-YEAR(Tabla13[[#This Row],[FECHA DE NACIMIENTO]])</f>
        <v>123</v>
      </c>
      <c r="AM18" s="45">
        <v>19223</v>
      </c>
      <c r="AN18" s="46">
        <v>44944</v>
      </c>
      <c r="AO18" s="47">
        <v>86250000</v>
      </c>
      <c r="AP18" s="45"/>
      <c r="AQ18" s="45"/>
      <c r="AR18" s="45"/>
      <c r="AS18" s="51">
        <v>86250000</v>
      </c>
      <c r="AT18" s="45" t="s">
        <v>75</v>
      </c>
      <c r="AU18" s="46">
        <v>44944</v>
      </c>
      <c r="AV18" s="52" t="s">
        <v>74</v>
      </c>
      <c r="AW18" s="46">
        <v>44944</v>
      </c>
      <c r="AX18" s="46">
        <v>45291</v>
      </c>
      <c r="AY18" s="44">
        <f t="shared" si="0"/>
        <v>347</v>
      </c>
      <c r="AZ18" s="45" t="s">
        <v>92</v>
      </c>
      <c r="BA18" s="45">
        <v>19498970</v>
      </c>
      <c r="BB18" s="47"/>
      <c r="BC18" s="49"/>
      <c r="BD18" s="45"/>
      <c r="BE18" s="45"/>
      <c r="BF18" s="45"/>
      <c r="BG18" s="49"/>
      <c r="BH18" s="45"/>
      <c r="BI18" s="49"/>
      <c r="BJ18" s="47">
        <f>(Tabla13[[#This Row],[VALOR TOTAL CONTRATO + VF]]+Tabla13[[#This Row],[ADICION 1 ]]+Tabla13[[#This Row],[ADICION 2]]-Tabla13[[#This Row],[LIBERACION]])</f>
        <v>86250000</v>
      </c>
      <c r="BK18" s="45"/>
      <c r="BL18" s="49"/>
      <c r="BM18" s="49"/>
      <c r="BN18" s="45"/>
      <c r="BO18" s="45"/>
      <c r="BP18" s="49"/>
      <c r="BQ18" s="45"/>
      <c r="BR18" s="47"/>
      <c r="BS18" s="49"/>
      <c r="BT18" s="45">
        <f t="shared" si="1"/>
        <v>347</v>
      </c>
      <c r="BU18" s="49"/>
      <c r="BV18" s="52"/>
    </row>
    <row r="19" spans="1:74" ht="15" customHeight="1" x14ac:dyDescent="0.25">
      <c r="A19" s="42" t="s">
        <v>459</v>
      </c>
      <c r="B19" s="43" t="s">
        <v>460</v>
      </c>
      <c r="C19" s="44" t="s">
        <v>54</v>
      </c>
      <c r="D19" s="45">
        <v>30</v>
      </c>
      <c r="E19" s="45" t="s">
        <v>55</v>
      </c>
      <c r="F19" s="45" t="s">
        <v>115</v>
      </c>
      <c r="G19" s="45" t="s">
        <v>116</v>
      </c>
      <c r="H19" s="45" t="s">
        <v>57</v>
      </c>
      <c r="I19" s="46">
        <v>44942</v>
      </c>
      <c r="J19" s="45" t="s">
        <v>59</v>
      </c>
      <c r="K19" s="45" t="s">
        <v>117</v>
      </c>
      <c r="L19" s="45" t="s">
        <v>99</v>
      </c>
      <c r="M19" s="45" t="s">
        <v>118</v>
      </c>
      <c r="N19" s="45">
        <v>80161504</v>
      </c>
      <c r="O19" s="45" t="s">
        <v>62</v>
      </c>
      <c r="P19" s="47">
        <v>63250000</v>
      </c>
      <c r="Q19" s="47">
        <v>63250000</v>
      </c>
      <c r="R19" s="45">
        <v>13523</v>
      </c>
      <c r="S19" s="45" t="s">
        <v>63</v>
      </c>
      <c r="T19" s="45" t="s">
        <v>64</v>
      </c>
      <c r="U19" s="45" t="s">
        <v>65</v>
      </c>
      <c r="V19" s="45"/>
      <c r="W19" s="45" t="s">
        <v>119</v>
      </c>
      <c r="X19" s="45" t="s">
        <v>57</v>
      </c>
      <c r="Y19" s="46">
        <v>44944</v>
      </c>
      <c r="Z19" s="45" t="s">
        <v>117</v>
      </c>
      <c r="AA19" s="45"/>
      <c r="AB19" s="45" t="s">
        <v>68</v>
      </c>
      <c r="AC19" s="45" t="s">
        <v>69</v>
      </c>
      <c r="AD19" s="45" t="s">
        <v>422</v>
      </c>
      <c r="AE19" s="45">
        <v>79865008</v>
      </c>
      <c r="AF19" s="45"/>
      <c r="AG19" s="45"/>
      <c r="AH19" s="45"/>
      <c r="AI19" s="45"/>
      <c r="AJ19" s="45"/>
      <c r="AK19" s="45"/>
      <c r="AL19" s="50">
        <f ca="1">+YEAR(TODAY())-YEAR(Tabla13[[#This Row],[FECHA DE NACIMIENTO]])</f>
        <v>123</v>
      </c>
      <c r="AM19" s="45">
        <v>18723</v>
      </c>
      <c r="AN19" s="46">
        <v>44944</v>
      </c>
      <c r="AO19" s="47">
        <v>63250000</v>
      </c>
      <c r="AP19" s="45"/>
      <c r="AQ19" s="45"/>
      <c r="AR19" s="45"/>
      <c r="AS19" s="51">
        <v>63250000</v>
      </c>
      <c r="AT19" s="45" t="s">
        <v>75</v>
      </c>
      <c r="AU19" s="46">
        <v>44944</v>
      </c>
      <c r="AV19" s="52" t="s">
        <v>74</v>
      </c>
      <c r="AW19" s="46">
        <v>44944</v>
      </c>
      <c r="AX19" s="46">
        <v>45291</v>
      </c>
      <c r="AY19" s="44">
        <f t="shared" si="0"/>
        <v>347</v>
      </c>
      <c r="AZ19" s="45" t="s">
        <v>437</v>
      </c>
      <c r="BA19" s="45">
        <v>393757630</v>
      </c>
      <c r="BB19" s="47"/>
      <c r="BC19" s="49"/>
      <c r="BD19" s="45"/>
      <c r="BE19" s="45"/>
      <c r="BF19" s="45"/>
      <c r="BG19" s="49"/>
      <c r="BH19" s="45"/>
      <c r="BI19" s="49"/>
      <c r="BJ19" s="47">
        <f>(Tabla13[[#This Row],[VALOR TOTAL CONTRATO + VF]]+Tabla13[[#This Row],[ADICION 1 ]]+Tabla13[[#This Row],[ADICION 2]]-Tabla13[[#This Row],[LIBERACION]])</f>
        <v>63250000</v>
      </c>
      <c r="BK19" s="45"/>
      <c r="BL19" s="49"/>
      <c r="BM19" s="49"/>
      <c r="BN19" s="45"/>
      <c r="BO19" s="45"/>
      <c r="BP19" s="49"/>
      <c r="BQ19" s="45"/>
      <c r="BR19" s="47"/>
      <c r="BS19" s="49"/>
      <c r="BT19" s="45">
        <f t="shared" si="1"/>
        <v>347</v>
      </c>
      <c r="BU19" s="49"/>
      <c r="BV19" s="52"/>
    </row>
    <row r="20" spans="1:74" ht="15" customHeight="1" x14ac:dyDescent="0.25">
      <c r="A20" s="42" t="s">
        <v>459</v>
      </c>
      <c r="B20" s="43" t="s">
        <v>460</v>
      </c>
      <c r="C20" s="44" t="s">
        <v>54</v>
      </c>
      <c r="D20" s="45">
        <v>2</v>
      </c>
      <c r="E20" s="45" t="s">
        <v>409</v>
      </c>
      <c r="F20" s="45" t="s">
        <v>363</v>
      </c>
      <c r="G20" s="45" t="s">
        <v>364</v>
      </c>
      <c r="H20" s="45" t="s">
        <v>57</v>
      </c>
      <c r="I20" s="46">
        <v>44942</v>
      </c>
      <c r="J20" s="45" t="s">
        <v>59</v>
      </c>
      <c r="K20" s="45" t="s">
        <v>60</v>
      </c>
      <c r="L20" s="45" t="s">
        <v>150</v>
      </c>
      <c r="M20" s="45" t="s">
        <v>365</v>
      </c>
      <c r="N20" s="45" t="s">
        <v>366</v>
      </c>
      <c r="O20" s="45" t="s">
        <v>138</v>
      </c>
      <c r="P20" s="47">
        <v>71500000</v>
      </c>
      <c r="Q20" s="47">
        <v>71500000</v>
      </c>
      <c r="R20" s="45">
        <v>11323</v>
      </c>
      <c r="S20" s="45" t="s">
        <v>63</v>
      </c>
      <c r="T20" s="45" t="s">
        <v>64</v>
      </c>
      <c r="U20" s="45" t="s">
        <v>65</v>
      </c>
      <c r="V20" s="45"/>
      <c r="W20" s="45" t="s">
        <v>367</v>
      </c>
      <c r="X20" s="45" t="s">
        <v>57</v>
      </c>
      <c r="Y20" s="46">
        <v>44943</v>
      </c>
      <c r="Z20" s="45" t="s">
        <v>67</v>
      </c>
      <c r="AA20" s="45"/>
      <c r="AB20" s="45" t="s">
        <v>68</v>
      </c>
      <c r="AC20" s="45" t="s">
        <v>69</v>
      </c>
      <c r="AD20" s="45" t="s">
        <v>436</v>
      </c>
      <c r="AE20" s="45">
        <v>1026262941</v>
      </c>
      <c r="AF20" s="45"/>
      <c r="AG20" s="45" t="s">
        <v>740</v>
      </c>
      <c r="AH20" s="45" t="s">
        <v>551</v>
      </c>
      <c r="AI20" s="45"/>
      <c r="AJ20" s="45"/>
      <c r="AK20" s="45">
        <v>32243</v>
      </c>
      <c r="AL20" s="50" t="e">
        <f ca="1">+YEAR(TODAY())-YEAR([1]!Tabla1[[#This Row],[FECHA DE NACIMIENTO]])</f>
        <v>#REF!</v>
      </c>
      <c r="AM20" s="45">
        <v>17423</v>
      </c>
      <c r="AN20" s="46">
        <v>44943</v>
      </c>
      <c r="AO20" s="47">
        <v>71500000</v>
      </c>
      <c r="AP20" s="45"/>
      <c r="AQ20" s="45"/>
      <c r="AR20" s="45"/>
      <c r="AS20" s="51">
        <f>SUM(AO20+AP20+AQ20+AR20)</f>
        <v>71500000</v>
      </c>
      <c r="AT20" s="45" t="s">
        <v>75</v>
      </c>
      <c r="AU20" s="46">
        <v>44945</v>
      </c>
      <c r="AV20" s="52" t="s">
        <v>74</v>
      </c>
      <c r="AW20" s="46">
        <v>44945</v>
      </c>
      <c r="AX20" s="46">
        <v>45291</v>
      </c>
      <c r="AY20" s="44">
        <f t="shared" si="0"/>
        <v>346</v>
      </c>
      <c r="AZ20" s="45" t="s">
        <v>368</v>
      </c>
      <c r="BA20" s="45">
        <v>52619262</v>
      </c>
      <c r="BB20" s="47"/>
      <c r="BC20" s="49"/>
      <c r="BD20" s="45"/>
      <c r="BE20" s="45"/>
      <c r="BF20" s="45"/>
      <c r="BG20" s="49"/>
      <c r="BH20" s="45"/>
      <c r="BI20" s="49"/>
      <c r="BJ20" s="47" t="e">
        <f>([1]!Tabla1[[#This Row],[VALOR TOTAL CONTRATO + VF]]+[1]!Tabla1[[#This Row],[ADICION 1 ]]+[1]!Tabla1[[#This Row],[ADICION 2]]-[1]!Tabla1[[#This Row],[LIBERACION]])</f>
        <v>#REF!</v>
      </c>
      <c r="BK20" s="45"/>
      <c r="BL20" s="49"/>
      <c r="BM20" s="49"/>
      <c r="BN20" s="45"/>
      <c r="BO20" s="45"/>
      <c r="BP20" s="49"/>
      <c r="BQ20" s="45"/>
      <c r="BR20" s="47"/>
      <c r="BS20" s="49"/>
      <c r="BT20" s="45">
        <f t="shared" si="1"/>
        <v>346</v>
      </c>
      <c r="BU20" s="49"/>
      <c r="BV20" s="52"/>
    </row>
    <row r="21" spans="1:74" ht="15" customHeight="1" x14ac:dyDescent="0.25">
      <c r="A21" s="42" t="s">
        <v>459</v>
      </c>
      <c r="B21" s="43" t="s">
        <v>460</v>
      </c>
      <c r="C21" s="44" t="s">
        <v>54</v>
      </c>
      <c r="D21" s="45">
        <v>207</v>
      </c>
      <c r="E21" s="45" t="s">
        <v>345</v>
      </c>
      <c r="F21" s="45" t="s">
        <v>307</v>
      </c>
      <c r="G21" s="45" t="s">
        <v>988</v>
      </c>
      <c r="H21" s="45" t="s">
        <v>57</v>
      </c>
      <c r="I21" s="46">
        <v>44942</v>
      </c>
      <c r="J21" s="45" t="s">
        <v>59</v>
      </c>
      <c r="K21" s="45" t="s">
        <v>290</v>
      </c>
      <c r="L21" s="45" t="s">
        <v>303</v>
      </c>
      <c r="M21" s="45" t="s">
        <v>308</v>
      </c>
      <c r="N21" s="45">
        <v>80161500</v>
      </c>
      <c r="O21" s="45" t="s">
        <v>293</v>
      </c>
      <c r="P21" s="47">
        <v>69000000</v>
      </c>
      <c r="Q21" s="47">
        <v>69000000</v>
      </c>
      <c r="R21" s="45">
        <v>10823</v>
      </c>
      <c r="S21" s="45" t="s">
        <v>309</v>
      </c>
      <c r="T21" s="45" t="s">
        <v>64</v>
      </c>
      <c r="U21" s="45" t="s">
        <v>65</v>
      </c>
      <c r="V21" s="45"/>
      <c r="W21" s="45" t="s">
        <v>443</v>
      </c>
      <c r="X21" s="45" t="s">
        <v>57</v>
      </c>
      <c r="Y21" s="46">
        <v>44942</v>
      </c>
      <c r="Z21" s="45" t="s">
        <v>67</v>
      </c>
      <c r="AA21" s="45"/>
      <c r="AB21" s="45" t="s">
        <v>295</v>
      </c>
      <c r="AC21" s="45" t="s">
        <v>69</v>
      </c>
      <c r="AD21" s="45" t="s">
        <v>310</v>
      </c>
      <c r="AE21" s="45">
        <v>79463678</v>
      </c>
      <c r="AF21" s="45"/>
      <c r="AG21" s="45"/>
      <c r="AH21" s="45"/>
      <c r="AI21" s="45"/>
      <c r="AJ21" s="45"/>
      <c r="AK21" s="45"/>
      <c r="AL21" s="50">
        <f ca="1">+YEAR(TODAY())-YEAR(Tabla13[[#This Row],[FECHA DE NACIMIENTO]])</f>
        <v>123</v>
      </c>
      <c r="AM21" s="45">
        <v>16723</v>
      </c>
      <c r="AN21" s="46">
        <v>44943</v>
      </c>
      <c r="AO21" s="51">
        <v>69000000</v>
      </c>
      <c r="AP21" s="45"/>
      <c r="AQ21" s="45"/>
      <c r="AR21" s="45"/>
      <c r="AS21" s="51">
        <v>69000000</v>
      </c>
      <c r="AT21" s="45" t="s">
        <v>297</v>
      </c>
      <c r="AU21" s="46">
        <v>44944</v>
      </c>
      <c r="AV21" s="52" t="s">
        <v>74</v>
      </c>
      <c r="AW21" s="46">
        <v>44944</v>
      </c>
      <c r="AX21" s="46">
        <v>45291</v>
      </c>
      <c r="AY21" s="44">
        <f t="shared" si="0"/>
        <v>347</v>
      </c>
      <c r="AZ21" s="45" t="s">
        <v>311</v>
      </c>
      <c r="BA21" s="45">
        <v>52452907</v>
      </c>
      <c r="BB21" s="47"/>
      <c r="BC21" s="49"/>
      <c r="BD21" s="45"/>
      <c r="BE21" s="45"/>
      <c r="BF21" s="45"/>
      <c r="BG21" s="49"/>
      <c r="BH21" s="45"/>
      <c r="BI21" s="49"/>
      <c r="BJ21" s="47">
        <f>(Tabla13[[#This Row],[VALOR TOTAL CONTRATO + VF]]+Tabla13[[#This Row],[ADICION 1 ]]+Tabla13[[#This Row],[ADICION 2]]-Tabla13[[#This Row],[LIBERACION]])</f>
        <v>69000000</v>
      </c>
      <c r="BK21" s="45"/>
      <c r="BL21" s="49"/>
      <c r="BM21" s="49"/>
      <c r="BN21" s="45"/>
      <c r="BO21" s="45"/>
      <c r="BP21" s="49"/>
      <c r="BQ21" s="45"/>
      <c r="BR21" s="47"/>
      <c r="BS21" s="49"/>
      <c r="BT21" s="45">
        <f t="shared" si="1"/>
        <v>347</v>
      </c>
      <c r="BU21" s="49"/>
      <c r="BV21" s="52"/>
    </row>
    <row r="22" spans="1:74" ht="15" customHeight="1" x14ac:dyDescent="0.25">
      <c r="A22" s="42" t="s">
        <v>459</v>
      </c>
      <c r="B22" s="43" t="s">
        <v>460</v>
      </c>
      <c r="C22" s="44" t="s">
        <v>54</v>
      </c>
      <c r="D22" s="45">
        <v>56</v>
      </c>
      <c r="E22" s="45" t="s">
        <v>55</v>
      </c>
      <c r="F22" s="45" t="s">
        <v>101</v>
      </c>
      <c r="G22" s="45" t="s">
        <v>103</v>
      </c>
      <c r="H22" s="45" t="s">
        <v>57</v>
      </c>
      <c r="I22" s="46">
        <v>44943</v>
      </c>
      <c r="J22" s="45" t="s">
        <v>59</v>
      </c>
      <c r="K22" s="45" t="s">
        <v>60</v>
      </c>
      <c r="L22" s="45" t="s">
        <v>86</v>
      </c>
      <c r="M22" s="45" t="s">
        <v>104</v>
      </c>
      <c r="N22" s="45">
        <v>81111800</v>
      </c>
      <c r="O22" s="45" t="s">
        <v>88</v>
      </c>
      <c r="P22" s="47">
        <v>115000000</v>
      </c>
      <c r="Q22" s="47">
        <v>115000000</v>
      </c>
      <c r="R22" s="45">
        <v>13123</v>
      </c>
      <c r="S22" s="45" t="s">
        <v>89</v>
      </c>
      <c r="T22" s="45" t="s">
        <v>64</v>
      </c>
      <c r="U22" s="45" t="s">
        <v>65</v>
      </c>
      <c r="V22" s="45"/>
      <c r="W22" s="45" t="s">
        <v>105</v>
      </c>
      <c r="X22" s="45" t="s">
        <v>57</v>
      </c>
      <c r="Y22" s="46">
        <v>44944</v>
      </c>
      <c r="Z22" s="45" t="s">
        <v>67</v>
      </c>
      <c r="AA22" s="45"/>
      <c r="AB22" s="45" t="s">
        <v>68</v>
      </c>
      <c r="AC22" s="45" t="s">
        <v>69</v>
      </c>
      <c r="AD22" s="45" t="s">
        <v>106</v>
      </c>
      <c r="AE22" s="45">
        <v>1010218162</v>
      </c>
      <c r="AF22" s="45"/>
      <c r="AG22" s="45"/>
      <c r="AH22" s="45"/>
      <c r="AI22" s="45"/>
      <c r="AJ22" s="45"/>
      <c r="AK22" s="45"/>
      <c r="AL22" s="50">
        <f ca="1">+YEAR(TODAY())-YEAR(Tabla13[[#This Row],[FECHA DE NACIMIENTO]])</f>
        <v>123</v>
      </c>
      <c r="AM22" s="45">
        <v>19123</v>
      </c>
      <c r="AN22" s="46">
        <v>44944</v>
      </c>
      <c r="AO22" s="47">
        <v>115000000</v>
      </c>
      <c r="AP22" s="45"/>
      <c r="AQ22" s="45"/>
      <c r="AR22" s="45"/>
      <c r="AS22" s="51">
        <v>115000000</v>
      </c>
      <c r="AT22" s="45" t="s">
        <v>75</v>
      </c>
      <c r="AU22" s="46">
        <v>44944</v>
      </c>
      <c r="AV22" s="52" t="s">
        <v>74</v>
      </c>
      <c r="AW22" s="46">
        <v>44944</v>
      </c>
      <c r="AX22" s="46">
        <v>45291</v>
      </c>
      <c r="AY22" s="44">
        <f t="shared" si="0"/>
        <v>347</v>
      </c>
      <c r="AZ22" s="45" t="s">
        <v>92</v>
      </c>
      <c r="BA22" s="45">
        <v>19498970</v>
      </c>
      <c r="BB22" s="47"/>
      <c r="BC22" s="49"/>
      <c r="BD22" s="45"/>
      <c r="BE22" s="45"/>
      <c r="BF22" s="45"/>
      <c r="BG22" s="49"/>
      <c r="BH22" s="45"/>
      <c r="BI22" s="49"/>
      <c r="BJ22" s="47">
        <f>(Tabla13[[#This Row],[VALOR TOTAL CONTRATO + VF]]+Tabla13[[#This Row],[ADICION 1 ]]+Tabla13[[#This Row],[ADICION 2]]-Tabla13[[#This Row],[LIBERACION]])</f>
        <v>115000000</v>
      </c>
      <c r="BK22" s="45"/>
      <c r="BL22" s="49"/>
      <c r="BM22" s="49"/>
      <c r="BN22" s="45"/>
      <c r="BO22" s="45"/>
      <c r="BP22" s="49"/>
      <c r="BQ22" s="45"/>
      <c r="BR22" s="47"/>
      <c r="BS22" s="49"/>
      <c r="BT22" s="45">
        <f t="shared" si="1"/>
        <v>347</v>
      </c>
      <c r="BU22" s="49"/>
      <c r="BV22" s="52"/>
    </row>
    <row r="23" spans="1:74" ht="15" customHeight="1" x14ac:dyDescent="0.25">
      <c r="A23" s="42" t="s">
        <v>459</v>
      </c>
      <c r="B23" s="43" t="s">
        <v>460</v>
      </c>
      <c r="C23" s="44" t="s">
        <v>54</v>
      </c>
      <c r="D23" s="45">
        <v>22</v>
      </c>
      <c r="E23" s="45" t="s">
        <v>409</v>
      </c>
      <c r="F23" s="45" t="s">
        <v>369</v>
      </c>
      <c r="G23" s="45" t="s">
        <v>370</v>
      </c>
      <c r="H23" s="45" t="s">
        <v>57</v>
      </c>
      <c r="I23" s="46">
        <v>44943</v>
      </c>
      <c r="J23" s="45" t="s">
        <v>59</v>
      </c>
      <c r="K23" s="45" t="s">
        <v>60</v>
      </c>
      <c r="L23" s="45" t="s">
        <v>371</v>
      </c>
      <c r="M23" s="45" t="s">
        <v>372</v>
      </c>
      <c r="N23" s="45" t="s">
        <v>373</v>
      </c>
      <c r="O23" s="45" t="s">
        <v>741</v>
      </c>
      <c r="P23" s="47">
        <v>55000000</v>
      </c>
      <c r="Q23" s="47">
        <v>55000000</v>
      </c>
      <c r="R23" s="45">
        <v>10023</v>
      </c>
      <c r="S23" s="45" t="s">
        <v>63</v>
      </c>
      <c r="T23" s="45" t="s">
        <v>64</v>
      </c>
      <c r="U23" s="45" t="s">
        <v>65</v>
      </c>
      <c r="V23" s="45"/>
      <c r="W23" s="45" t="s">
        <v>374</v>
      </c>
      <c r="X23" s="45" t="s">
        <v>57</v>
      </c>
      <c r="Y23" s="46">
        <v>44944</v>
      </c>
      <c r="Z23" s="45" t="s">
        <v>67</v>
      </c>
      <c r="AA23" s="45"/>
      <c r="AB23" s="45" t="s">
        <v>68</v>
      </c>
      <c r="AC23" s="45" t="s">
        <v>69</v>
      </c>
      <c r="AD23" s="45" t="s">
        <v>375</v>
      </c>
      <c r="AE23" s="45">
        <v>24018748</v>
      </c>
      <c r="AF23" s="45"/>
      <c r="AG23" s="45" t="s">
        <v>626</v>
      </c>
      <c r="AH23" s="45" t="s">
        <v>551</v>
      </c>
      <c r="AI23" s="45"/>
      <c r="AJ23" s="45"/>
      <c r="AK23" s="45">
        <v>29011</v>
      </c>
      <c r="AL23" s="50" t="e">
        <f ca="1">+YEAR(TODAY())-YEAR([1]!Tabla1[[#This Row],[FECHA DE NACIMIENTO]])</f>
        <v>#REF!</v>
      </c>
      <c r="AM23" s="45">
        <v>20623</v>
      </c>
      <c r="AN23" s="46">
        <v>44945</v>
      </c>
      <c r="AO23" s="47">
        <v>55000000</v>
      </c>
      <c r="AP23" s="45"/>
      <c r="AQ23" s="45"/>
      <c r="AR23" s="45"/>
      <c r="AS23" s="51">
        <f>SUM(AO23+AP23+AQ23+AR23)</f>
        <v>55000000</v>
      </c>
      <c r="AT23" s="45" t="s">
        <v>75</v>
      </c>
      <c r="AU23" s="46">
        <v>44945</v>
      </c>
      <c r="AV23" s="52" t="s">
        <v>74</v>
      </c>
      <c r="AW23" s="46">
        <v>44949</v>
      </c>
      <c r="AX23" s="46">
        <v>45291</v>
      </c>
      <c r="AY23" s="44">
        <f t="shared" si="0"/>
        <v>342</v>
      </c>
      <c r="AZ23" s="45" t="s">
        <v>172</v>
      </c>
      <c r="BA23" s="45">
        <v>79279880</v>
      </c>
      <c r="BB23" s="47"/>
      <c r="BC23" s="49"/>
      <c r="BD23" s="45"/>
      <c r="BE23" s="45"/>
      <c r="BF23" s="45"/>
      <c r="BG23" s="49"/>
      <c r="BH23" s="45"/>
      <c r="BI23" s="49"/>
      <c r="BJ23" s="47" t="e">
        <f>([1]!Tabla1[[#This Row],[VALOR TOTAL CONTRATO + VF]]+[1]!Tabla1[[#This Row],[ADICION 1 ]]+[1]!Tabla1[[#This Row],[ADICION 2]]-[1]!Tabla1[[#This Row],[LIBERACION]])</f>
        <v>#REF!</v>
      </c>
      <c r="BK23" s="45"/>
      <c r="BL23" s="49"/>
      <c r="BM23" s="49"/>
      <c r="BN23" s="45"/>
      <c r="BO23" s="45"/>
      <c r="BP23" s="49"/>
      <c r="BQ23" s="45"/>
      <c r="BR23" s="47"/>
      <c r="BS23" s="49"/>
      <c r="BT23" s="45">
        <f t="shared" si="1"/>
        <v>342</v>
      </c>
      <c r="BU23" s="49"/>
      <c r="BV23" s="52"/>
    </row>
    <row r="24" spans="1:74" ht="15" customHeight="1" x14ac:dyDescent="0.25">
      <c r="A24" s="42" t="s">
        <v>459</v>
      </c>
      <c r="B24" s="43" t="s">
        <v>460</v>
      </c>
      <c r="C24" s="44" t="s">
        <v>54</v>
      </c>
      <c r="D24" s="45">
        <v>17</v>
      </c>
      <c r="E24" s="45" t="s">
        <v>409</v>
      </c>
      <c r="F24" s="45" t="s">
        <v>376</v>
      </c>
      <c r="G24" s="45" t="s">
        <v>377</v>
      </c>
      <c r="H24" s="45" t="s">
        <v>57</v>
      </c>
      <c r="I24" s="46">
        <v>44943</v>
      </c>
      <c r="J24" s="45" t="s">
        <v>59</v>
      </c>
      <c r="K24" s="45" t="s">
        <v>60</v>
      </c>
      <c r="L24" s="45" t="s">
        <v>150</v>
      </c>
      <c r="M24" s="45" t="s">
        <v>378</v>
      </c>
      <c r="N24" s="45" t="s">
        <v>379</v>
      </c>
      <c r="O24" s="45" t="s">
        <v>631</v>
      </c>
      <c r="P24" s="47">
        <v>57500000</v>
      </c>
      <c r="Q24" s="47">
        <v>57500000</v>
      </c>
      <c r="R24" s="45">
        <v>10523</v>
      </c>
      <c r="S24" s="45" t="s">
        <v>349</v>
      </c>
      <c r="T24" s="45" t="s">
        <v>64</v>
      </c>
      <c r="U24" s="45" t="s">
        <v>65</v>
      </c>
      <c r="V24" s="45"/>
      <c r="W24" s="45" t="s">
        <v>380</v>
      </c>
      <c r="X24" s="45" t="s">
        <v>57</v>
      </c>
      <c r="Y24" s="46">
        <v>44944</v>
      </c>
      <c r="Z24" s="45" t="s">
        <v>67</v>
      </c>
      <c r="AA24" s="45"/>
      <c r="AB24" s="45" t="s">
        <v>68</v>
      </c>
      <c r="AC24" s="45" t="s">
        <v>69</v>
      </c>
      <c r="AD24" s="45" t="s">
        <v>381</v>
      </c>
      <c r="AE24" s="45">
        <v>1010167732</v>
      </c>
      <c r="AF24" s="45"/>
      <c r="AG24" s="45" t="s">
        <v>742</v>
      </c>
      <c r="AH24" s="45" t="s">
        <v>551</v>
      </c>
      <c r="AI24" s="45"/>
      <c r="AJ24" s="45"/>
      <c r="AK24" s="45">
        <v>31711</v>
      </c>
      <c r="AL24" s="50" t="e">
        <f ca="1">+YEAR(TODAY())-YEAR([1]!Tabla1[[#This Row],[FECHA DE NACIMIENTO]])</f>
        <v>#REF!</v>
      </c>
      <c r="AM24" s="45">
        <v>19723</v>
      </c>
      <c r="AN24" s="46">
        <v>44945</v>
      </c>
      <c r="AO24" s="47">
        <v>57500000</v>
      </c>
      <c r="AP24" s="45"/>
      <c r="AQ24" s="45"/>
      <c r="AR24" s="45"/>
      <c r="AS24" s="51">
        <f>SUM(AO24+AP24+AQ24+AR24)</f>
        <v>57500000</v>
      </c>
      <c r="AT24" s="45" t="s">
        <v>75</v>
      </c>
      <c r="AU24" s="46">
        <v>44945</v>
      </c>
      <c r="AV24" s="52" t="s">
        <v>74</v>
      </c>
      <c r="AW24" s="46">
        <v>44946</v>
      </c>
      <c r="AX24" s="46">
        <v>45291</v>
      </c>
      <c r="AY24" s="44">
        <f t="shared" si="0"/>
        <v>345</v>
      </c>
      <c r="AZ24" s="45" t="s">
        <v>156</v>
      </c>
      <c r="BA24" s="45">
        <v>79276876</v>
      </c>
      <c r="BB24" s="47"/>
      <c r="BC24" s="49"/>
      <c r="BD24" s="45"/>
      <c r="BE24" s="45"/>
      <c r="BF24" s="45"/>
      <c r="BG24" s="49"/>
      <c r="BH24" s="45"/>
      <c r="BI24" s="49"/>
      <c r="BJ24" s="47" t="e">
        <f>([1]!Tabla1[[#This Row],[VALOR TOTAL CONTRATO + VF]]+[1]!Tabla1[[#This Row],[ADICION 1 ]]+[1]!Tabla1[[#This Row],[ADICION 2]]-[1]!Tabla1[[#This Row],[LIBERACION]])</f>
        <v>#REF!</v>
      </c>
      <c r="BK24" s="45"/>
      <c r="BL24" s="49"/>
      <c r="BM24" s="49"/>
      <c r="BN24" s="45"/>
      <c r="BO24" s="45"/>
      <c r="BP24" s="49"/>
      <c r="BQ24" s="45"/>
      <c r="BR24" s="47"/>
      <c r="BS24" s="49"/>
      <c r="BT24" s="45">
        <f t="shared" si="1"/>
        <v>345</v>
      </c>
      <c r="BU24" s="49"/>
      <c r="BV24" s="52"/>
    </row>
    <row r="25" spans="1:74" ht="15" customHeight="1" x14ac:dyDescent="0.25">
      <c r="A25" s="42" t="s">
        <v>459</v>
      </c>
      <c r="B25" s="43" t="s">
        <v>460</v>
      </c>
      <c r="C25" s="44" t="s">
        <v>54</v>
      </c>
      <c r="D25" s="45">
        <v>53</v>
      </c>
      <c r="E25" s="45" t="s">
        <v>55</v>
      </c>
      <c r="F25" s="45" t="s">
        <v>84</v>
      </c>
      <c r="G25" s="45" t="s">
        <v>85</v>
      </c>
      <c r="H25" s="45" t="s">
        <v>57</v>
      </c>
      <c r="I25" s="46">
        <v>44944</v>
      </c>
      <c r="J25" s="45" t="s">
        <v>59</v>
      </c>
      <c r="K25" s="45" t="s">
        <v>60</v>
      </c>
      <c r="L25" s="45" t="s">
        <v>86</v>
      </c>
      <c r="M25" s="45" t="s">
        <v>87</v>
      </c>
      <c r="N25" s="45">
        <v>81111500</v>
      </c>
      <c r="O25" s="45" t="s">
        <v>88</v>
      </c>
      <c r="P25" s="47">
        <v>57500000</v>
      </c>
      <c r="Q25" s="47">
        <v>57500000</v>
      </c>
      <c r="R25" s="45">
        <v>10923</v>
      </c>
      <c r="S25" s="45" t="s">
        <v>89</v>
      </c>
      <c r="T25" s="45" t="s">
        <v>64</v>
      </c>
      <c r="U25" s="45" t="s">
        <v>65</v>
      </c>
      <c r="V25" s="45"/>
      <c r="W25" s="45" t="s">
        <v>90</v>
      </c>
      <c r="X25" s="45" t="s">
        <v>57</v>
      </c>
      <c r="Y25" s="46">
        <v>44946</v>
      </c>
      <c r="Z25" s="45" t="s">
        <v>67</v>
      </c>
      <c r="AA25" s="45"/>
      <c r="AB25" s="45" t="s">
        <v>68</v>
      </c>
      <c r="AC25" s="45" t="s">
        <v>69</v>
      </c>
      <c r="AD25" s="45" t="s">
        <v>91</v>
      </c>
      <c r="AE25" s="45">
        <v>53075439</v>
      </c>
      <c r="AF25" s="45"/>
      <c r="AG25" s="45"/>
      <c r="AH25" s="45"/>
      <c r="AI25" s="45"/>
      <c r="AJ25" s="45"/>
      <c r="AK25" s="45"/>
      <c r="AL25" s="50">
        <f ca="1">+YEAR(TODAY())-YEAR(Tabla13[[#This Row],[FECHA DE NACIMIENTO]])</f>
        <v>123</v>
      </c>
      <c r="AM25" s="45">
        <v>21323</v>
      </c>
      <c r="AN25" s="46">
        <v>44946</v>
      </c>
      <c r="AO25" s="47">
        <v>57500000</v>
      </c>
      <c r="AP25" s="45"/>
      <c r="AQ25" s="45"/>
      <c r="AR25" s="45"/>
      <c r="AS25" s="51">
        <v>57500000</v>
      </c>
      <c r="AT25" s="45" t="s">
        <v>75</v>
      </c>
      <c r="AU25" s="46">
        <v>44946</v>
      </c>
      <c r="AV25" s="52" t="s">
        <v>74</v>
      </c>
      <c r="AW25" s="46">
        <v>44949</v>
      </c>
      <c r="AX25" s="46">
        <v>45291</v>
      </c>
      <c r="AY25" s="44">
        <f t="shared" si="0"/>
        <v>342</v>
      </c>
      <c r="AZ25" s="45" t="s">
        <v>92</v>
      </c>
      <c r="BA25" s="45">
        <v>19498970</v>
      </c>
      <c r="BB25" s="47"/>
      <c r="BC25" s="49"/>
      <c r="BD25" s="45"/>
      <c r="BE25" s="45"/>
      <c r="BF25" s="45"/>
      <c r="BG25" s="49"/>
      <c r="BH25" s="45"/>
      <c r="BI25" s="49"/>
      <c r="BJ25" s="47">
        <f>(Tabla13[[#This Row],[VALOR TOTAL CONTRATO + VF]]+Tabla13[[#This Row],[ADICION 1 ]]+Tabla13[[#This Row],[ADICION 2]]-Tabla13[[#This Row],[LIBERACION]])</f>
        <v>57500000</v>
      </c>
      <c r="BK25" s="45"/>
      <c r="BL25" s="49"/>
      <c r="BM25" s="49"/>
      <c r="BN25" s="45"/>
      <c r="BO25" s="45"/>
      <c r="BP25" s="49"/>
      <c r="BQ25" s="45"/>
      <c r="BR25" s="47"/>
      <c r="BS25" s="49"/>
      <c r="BT25" s="45">
        <f t="shared" si="1"/>
        <v>342</v>
      </c>
      <c r="BU25" s="49"/>
      <c r="BV25" s="52"/>
    </row>
    <row r="26" spans="1:74" ht="15" customHeight="1" x14ac:dyDescent="0.25">
      <c r="A26" s="42" t="s">
        <v>459</v>
      </c>
      <c r="B26" s="43" t="s">
        <v>460</v>
      </c>
      <c r="C26" s="44" t="s">
        <v>54</v>
      </c>
      <c r="D26" s="45">
        <v>23</v>
      </c>
      <c r="E26" s="45" t="s">
        <v>409</v>
      </c>
      <c r="F26" s="45" t="s">
        <v>360</v>
      </c>
      <c r="G26" s="45" t="s">
        <v>361</v>
      </c>
      <c r="H26" s="45" t="s">
        <v>57</v>
      </c>
      <c r="I26" s="46">
        <v>44944</v>
      </c>
      <c r="J26" s="45" t="s">
        <v>59</v>
      </c>
      <c r="K26" s="45" t="s">
        <v>60</v>
      </c>
      <c r="L26" s="45" t="s">
        <v>136</v>
      </c>
      <c r="M26" s="45" t="s">
        <v>353</v>
      </c>
      <c r="N26" s="45" t="s">
        <v>168</v>
      </c>
      <c r="O26" s="45" t="s">
        <v>739</v>
      </c>
      <c r="P26" s="47">
        <v>46000000</v>
      </c>
      <c r="Q26" s="47">
        <v>46000000</v>
      </c>
      <c r="R26" s="45">
        <v>9823</v>
      </c>
      <c r="S26" s="45" t="s">
        <v>63</v>
      </c>
      <c r="T26" s="45" t="s">
        <v>64</v>
      </c>
      <c r="U26" s="45" t="s">
        <v>65</v>
      </c>
      <c r="V26" s="45"/>
      <c r="W26" s="45" t="s">
        <v>362</v>
      </c>
      <c r="X26" s="45" t="s">
        <v>57</v>
      </c>
      <c r="Y26" s="46">
        <v>44945</v>
      </c>
      <c r="Z26" s="45" t="s">
        <v>67</v>
      </c>
      <c r="AA26" s="45"/>
      <c r="AB26" s="45" t="s">
        <v>68</v>
      </c>
      <c r="AC26" s="45" t="s">
        <v>69</v>
      </c>
      <c r="AD26" s="45" t="s">
        <v>435</v>
      </c>
      <c r="AE26" s="45">
        <v>1065827686</v>
      </c>
      <c r="AF26" s="45"/>
      <c r="AG26" s="45" t="s">
        <v>626</v>
      </c>
      <c r="AH26" s="45" t="s">
        <v>551</v>
      </c>
      <c r="AI26" s="45"/>
      <c r="AJ26" s="45"/>
      <c r="AK26" s="45">
        <v>35315</v>
      </c>
      <c r="AL26" s="50" t="e">
        <f ca="1">+YEAR(TODAY())-YEAR([1]!Tabla1[[#This Row],[FECHA DE NACIMIENTO]])</f>
        <v>#REF!</v>
      </c>
      <c r="AM26" s="45">
        <v>20223</v>
      </c>
      <c r="AN26" s="46">
        <v>44945</v>
      </c>
      <c r="AO26" s="47">
        <v>46000000</v>
      </c>
      <c r="AP26" s="45"/>
      <c r="AQ26" s="45"/>
      <c r="AR26" s="45"/>
      <c r="AS26" s="51">
        <f>SUM(AO26+AP26+AQ26+AR26)</f>
        <v>46000000</v>
      </c>
      <c r="AT26" s="45" t="s">
        <v>75</v>
      </c>
      <c r="AU26" s="46">
        <v>44945</v>
      </c>
      <c r="AV26" s="52" t="s">
        <v>74</v>
      </c>
      <c r="AW26" s="46">
        <v>44945</v>
      </c>
      <c r="AX26" s="46">
        <v>45291</v>
      </c>
      <c r="AY26" s="44">
        <f t="shared" si="0"/>
        <v>346</v>
      </c>
      <c r="AZ26" s="45" t="s">
        <v>172</v>
      </c>
      <c r="BA26" s="45">
        <v>79279880</v>
      </c>
      <c r="BB26" s="47"/>
      <c r="BC26" s="49"/>
      <c r="BD26" s="45"/>
      <c r="BE26" s="45"/>
      <c r="BF26" s="45"/>
      <c r="BG26" s="49"/>
      <c r="BH26" s="45"/>
      <c r="BI26" s="49"/>
      <c r="BJ26" s="47" t="e">
        <f>([1]!Tabla1[[#This Row],[VALOR TOTAL CONTRATO + VF]]+[1]!Tabla1[[#This Row],[ADICION 1 ]]+[1]!Tabla1[[#This Row],[ADICION 2]]-[1]!Tabla1[[#This Row],[LIBERACION]])</f>
        <v>#REF!</v>
      </c>
      <c r="BK26" s="45"/>
      <c r="BL26" s="49"/>
      <c r="BM26" s="49"/>
      <c r="BN26" s="45"/>
      <c r="BO26" s="45"/>
      <c r="BP26" s="49"/>
      <c r="BQ26" s="45"/>
      <c r="BR26" s="47"/>
      <c r="BS26" s="49"/>
      <c r="BT26" s="45">
        <f t="shared" si="1"/>
        <v>346</v>
      </c>
      <c r="BU26" s="49"/>
      <c r="BV26" s="52"/>
    </row>
    <row r="27" spans="1:74" ht="15" customHeight="1" x14ac:dyDescent="0.25">
      <c r="A27" s="42" t="s">
        <v>459</v>
      </c>
      <c r="B27" s="43" t="s">
        <v>460</v>
      </c>
      <c r="C27" s="44" t="s">
        <v>54</v>
      </c>
      <c r="D27" s="45">
        <v>47</v>
      </c>
      <c r="E27" s="45" t="s">
        <v>344</v>
      </c>
      <c r="F27" s="45" t="s">
        <v>222</v>
      </c>
      <c r="G27" s="45" t="s">
        <v>277</v>
      </c>
      <c r="H27" s="45" t="s">
        <v>57</v>
      </c>
      <c r="I27" s="46">
        <v>44944</v>
      </c>
      <c r="J27" s="45" t="s">
        <v>223</v>
      </c>
      <c r="K27" s="45" t="s">
        <v>224</v>
      </c>
      <c r="L27" s="45" t="s">
        <v>225</v>
      </c>
      <c r="M27" s="45" t="s">
        <v>226</v>
      </c>
      <c r="N27" s="45" t="s">
        <v>227</v>
      </c>
      <c r="O27" s="45" t="s">
        <v>228</v>
      </c>
      <c r="P27" s="47">
        <v>103500000</v>
      </c>
      <c r="Q27" s="47">
        <v>103500000</v>
      </c>
      <c r="R27" s="45">
        <v>11623</v>
      </c>
      <c r="S27" s="45" t="s">
        <v>89</v>
      </c>
      <c r="T27" s="45" t="s">
        <v>64</v>
      </c>
      <c r="U27" s="45" t="s">
        <v>65</v>
      </c>
      <c r="V27" s="45"/>
      <c r="W27" s="45" t="s">
        <v>229</v>
      </c>
      <c r="X27" s="45" t="s">
        <v>57</v>
      </c>
      <c r="Y27" s="46">
        <v>44946</v>
      </c>
      <c r="Z27" s="45" t="s">
        <v>67</v>
      </c>
      <c r="AA27" s="45"/>
      <c r="AB27" s="45" t="s">
        <v>68</v>
      </c>
      <c r="AC27" s="45" t="s">
        <v>69</v>
      </c>
      <c r="AD27" s="45" t="s">
        <v>425</v>
      </c>
      <c r="AE27" s="45">
        <v>1053512616</v>
      </c>
      <c r="AF27" s="45"/>
      <c r="AG27" s="45"/>
      <c r="AH27" s="45"/>
      <c r="AI27" s="45"/>
      <c r="AJ27" s="45"/>
      <c r="AK27" s="45"/>
      <c r="AL27" s="50">
        <f ca="1">+YEAR(TODAY())-YEAR(Tabla13[[#This Row],[FECHA DE NACIMIENTO]])</f>
        <v>123</v>
      </c>
      <c r="AM27" s="45">
        <v>21923</v>
      </c>
      <c r="AN27" s="46">
        <v>44946</v>
      </c>
      <c r="AO27" s="47">
        <v>103500000</v>
      </c>
      <c r="AP27" s="45"/>
      <c r="AQ27" s="45"/>
      <c r="AR27" s="45"/>
      <c r="AS27" s="51">
        <v>103500000</v>
      </c>
      <c r="AT27" s="45" t="s">
        <v>230</v>
      </c>
      <c r="AU27" s="46">
        <v>44945</v>
      </c>
      <c r="AV27" s="52" t="s">
        <v>74</v>
      </c>
      <c r="AW27" s="46">
        <v>44946</v>
      </c>
      <c r="AX27" s="46">
        <v>45291</v>
      </c>
      <c r="AY27" s="44">
        <f t="shared" si="0"/>
        <v>345</v>
      </c>
      <c r="AZ27" s="45" t="s">
        <v>92</v>
      </c>
      <c r="BA27" s="45">
        <v>19498970</v>
      </c>
      <c r="BB27" s="47"/>
      <c r="BC27" s="49"/>
      <c r="BD27" s="45"/>
      <c r="BE27" s="45"/>
      <c r="BF27" s="45"/>
      <c r="BG27" s="49"/>
      <c r="BH27" s="45"/>
      <c r="BI27" s="49"/>
      <c r="BJ27" s="47">
        <f>(Tabla13[[#This Row],[VALOR TOTAL CONTRATO + VF]]+Tabla13[[#This Row],[ADICION 1 ]]+Tabla13[[#This Row],[ADICION 2]]-Tabla13[[#This Row],[LIBERACION]])</f>
        <v>103500000</v>
      </c>
      <c r="BK27" s="45"/>
      <c r="BL27" s="49"/>
      <c r="BM27" s="49"/>
      <c r="BN27" s="45"/>
      <c r="BO27" s="45"/>
      <c r="BP27" s="49"/>
      <c r="BQ27" s="45"/>
      <c r="BR27" s="47"/>
      <c r="BS27" s="49"/>
      <c r="BT27" s="45">
        <f t="shared" si="1"/>
        <v>345</v>
      </c>
      <c r="BU27" s="49"/>
      <c r="BV27" s="52"/>
    </row>
    <row r="28" spans="1:74" ht="15" customHeight="1" x14ac:dyDescent="0.25">
      <c r="A28" s="42" t="s">
        <v>459</v>
      </c>
      <c r="B28" s="43" t="s">
        <v>460</v>
      </c>
      <c r="C28" s="44" t="s">
        <v>54</v>
      </c>
      <c r="D28" s="45">
        <v>46</v>
      </c>
      <c r="E28" s="45" t="s">
        <v>344</v>
      </c>
      <c r="F28" s="45" t="s">
        <v>269</v>
      </c>
      <c r="G28" s="45" t="s">
        <v>287</v>
      </c>
      <c r="H28" s="45" t="s">
        <v>57</v>
      </c>
      <c r="I28" s="46">
        <v>44944</v>
      </c>
      <c r="J28" s="45" t="s">
        <v>223</v>
      </c>
      <c r="K28" s="45" t="s">
        <v>224</v>
      </c>
      <c r="L28" s="45" t="s">
        <v>225</v>
      </c>
      <c r="M28" s="45" t="s">
        <v>270</v>
      </c>
      <c r="N28" s="45" t="s">
        <v>227</v>
      </c>
      <c r="O28" s="45" t="s">
        <v>228</v>
      </c>
      <c r="P28" s="47">
        <v>103500000</v>
      </c>
      <c r="Q28" s="47">
        <v>103500000</v>
      </c>
      <c r="R28" s="45">
        <v>11523</v>
      </c>
      <c r="S28" s="45" t="s">
        <v>89</v>
      </c>
      <c r="T28" s="45" t="s">
        <v>64</v>
      </c>
      <c r="U28" s="45" t="s">
        <v>65</v>
      </c>
      <c r="V28" s="45"/>
      <c r="W28" s="45" t="s">
        <v>271</v>
      </c>
      <c r="X28" s="45" t="s">
        <v>57</v>
      </c>
      <c r="Y28" s="46">
        <v>44945</v>
      </c>
      <c r="Z28" s="45" t="s">
        <v>67</v>
      </c>
      <c r="AA28" s="45"/>
      <c r="AB28" s="45" t="s">
        <v>68</v>
      </c>
      <c r="AC28" s="45" t="s">
        <v>69</v>
      </c>
      <c r="AD28" s="45" t="s">
        <v>431</v>
      </c>
      <c r="AE28" s="45">
        <v>1058038192</v>
      </c>
      <c r="AF28" s="45"/>
      <c r="AG28" s="45"/>
      <c r="AH28" s="45"/>
      <c r="AI28" s="45"/>
      <c r="AJ28" s="45"/>
      <c r="AK28" s="45"/>
      <c r="AL28" s="50">
        <f ca="1">+YEAR(TODAY())-YEAR(Tabla13[[#This Row],[FECHA DE NACIMIENTO]])</f>
        <v>123</v>
      </c>
      <c r="AM28" s="45">
        <v>20323</v>
      </c>
      <c r="AN28" s="46">
        <v>44945</v>
      </c>
      <c r="AO28" s="47">
        <v>103500000</v>
      </c>
      <c r="AP28" s="45"/>
      <c r="AQ28" s="45"/>
      <c r="AR28" s="45"/>
      <c r="AS28" s="51">
        <v>103500000</v>
      </c>
      <c r="AT28" s="45" t="s">
        <v>230</v>
      </c>
      <c r="AU28" s="46">
        <v>44944</v>
      </c>
      <c r="AV28" s="52" t="s">
        <v>74</v>
      </c>
      <c r="AW28" s="46">
        <v>44945</v>
      </c>
      <c r="AX28" s="46">
        <v>45291</v>
      </c>
      <c r="AY28" s="44">
        <f t="shared" si="0"/>
        <v>346</v>
      </c>
      <c r="AZ28" s="45" t="s">
        <v>92</v>
      </c>
      <c r="BA28" s="45">
        <v>19498970</v>
      </c>
      <c r="BB28" s="47"/>
      <c r="BC28" s="49"/>
      <c r="BD28" s="45"/>
      <c r="BE28" s="45"/>
      <c r="BF28" s="45"/>
      <c r="BG28" s="49"/>
      <c r="BH28" s="45"/>
      <c r="BI28" s="49"/>
      <c r="BJ28" s="47">
        <f>(Tabla13[[#This Row],[VALOR TOTAL CONTRATO + VF]]+Tabla13[[#This Row],[ADICION 1 ]]+Tabla13[[#This Row],[ADICION 2]]-Tabla13[[#This Row],[LIBERACION]])</f>
        <v>103500000</v>
      </c>
      <c r="BK28" s="45"/>
      <c r="BL28" s="49"/>
      <c r="BM28" s="49"/>
      <c r="BN28" s="45"/>
      <c r="BO28" s="45"/>
      <c r="BP28" s="49"/>
      <c r="BQ28" s="45"/>
      <c r="BR28" s="47"/>
      <c r="BS28" s="49"/>
      <c r="BT28" s="45">
        <f t="shared" si="1"/>
        <v>346</v>
      </c>
      <c r="BU28" s="49"/>
      <c r="BV28" s="52"/>
    </row>
    <row r="29" spans="1:74" ht="15" customHeight="1" x14ac:dyDescent="0.25">
      <c r="A29" s="42" t="s">
        <v>459</v>
      </c>
      <c r="B29" s="43" t="s">
        <v>460</v>
      </c>
      <c r="C29" s="44" t="s">
        <v>54</v>
      </c>
      <c r="D29" s="45">
        <v>115</v>
      </c>
      <c r="E29" s="45" t="s">
        <v>344</v>
      </c>
      <c r="F29" s="45" t="s">
        <v>272</v>
      </c>
      <c r="G29" s="45" t="s">
        <v>288</v>
      </c>
      <c r="H29" s="45" t="s">
        <v>57</v>
      </c>
      <c r="I29" s="46">
        <v>44944</v>
      </c>
      <c r="J29" s="45" t="s">
        <v>223</v>
      </c>
      <c r="K29" s="45" t="s">
        <v>224</v>
      </c>
      <c r="L29" s="45" t="s">
        <v>273</v>
      </c>
      <c r="M29" s="45" t="s">
        <v>274</v>
      </c>
      <c r="N29" s="45" t="s">
        <v>246</v>
      </c>
      <c r="O29" s="45" t="s">
        <v>247</v>
      </c>
      <c r="P29" s="47">
        <v>80000000</v>
      </c>
      <c r="Q29" s="47">
        <v>80000000</v>
      </c>
      <c r="R29" s="45">
        <v>12923</v>
      </c>
      <c r="S29" s="45" t="s">
        <v>63</v>
      </c>
      <c r="T29" s="45" t="s">
        <v>64</v>
      </c>
      <c r="U29" s="45" t="s">
        <v>65</v>
      </c>
      <c r="V29" s="45"/>
      <c r="W29" s="45" t="s">
        <v>275</v>
      </c>
      <c r="X29" s="45" t="s">
        <v>57</v>
      </c>
      <c r="Y29" s="46">
        <v>44949</v>
      </c>
      <c r="Z29" s="45" t="s">
        <v>67</v>
      </c>
      <c r="AA29" s="45"/>
      <c r="AB29" s="45" t="s">
        <v>68</v>
      </c>
      <c r="AC29" s="45" t="s">
        <v>69</v>
      </c>
      <c r="AD29" s="45" t="s">
        <v>276</v>
      </c>
      <c r="AE29" s="45">
        <v>79470333</v>
      </c>
      <c r="AF29" s="45"/>
      <c r="AG29" s="45"/>
      <c r="AH29" s="45"/>
      <c r="AI29" s="45"/>
      <c r="AJ29" s="45"/>
      <c r="AK29" s="45"/>
      <c r="AL29" s="50">
        <f ca="1">+YEAR(TODAY())-YEAR(Tabla13[[#This Row],[FECHA DE NACIMIENTO]])</f>
        <v>123</v>
      </c>
      <c r="AM29" s="45">
        <v>22423</v>
      </c>
      <c r="AN29" s="46">
        <v>44949</v>
      </c>
      <c r="AO29" s="47">
        <v>80000000</v>
      </c>
      <c r="AP29" s="45"/>
      <c r="AQ29" s="45"/>
      <c r="AR29" s="45"/>
      <c r="AS29" s="51">
        <v>80000000</v>
      </c>
      <c r="AT29" s="45" t="s">
        <v>230</v>
      </c>
      <c r="AU29" s="46">
        <v>44950</v>
      </c>
      <c r="AV29" s="52" t="s">
        <v>74</v>
      </c>
      <c r="AW29" s="46">
        <v>44949</v>
      </c>
      <c r="AX29" s="46">
        <v>45250</v>
      </c>
      <c r="AY29" s="44">
        <f t="shared" si="0"/>
        <v>301</v>
      </c>
      <c r="AZ29" s="45" t="s">
        <v>437</v>
      </c>
      <c r="BA29" s="45">
        <v>393757630</v>
      </c>
      <c r="BB29" s="47"/>
      <c r="BC29" s="49"/>
      <c r="BD29" s="45"/>
      <c r="BE29" s="45"/>
      <c r="BF29" s="45"/>
      <c r="BG29" s="49"/>
      <c r="BH29" s="45"/>
      <c r="BI29" s="49"/>
      <c r="BJ29" s="47">
        <f>(Tabla13[[#This Row],[VALOR TOTAL CONTRATO + VF]]+Tabla13[[#This Row],[ADICION 1 ]]+Tabla13[[#This Row],[ADICION 2]]-Tabla13[[#This Row],[LIBERACION]])</f>
        <v>80000000</v>
      </c>
      <c r="BK29" s="45"/>
      <c r="BL29" s="49"/>
      <c r="BM29" s="49"/>
      <c r="BN29" s="45"/>
      <c r="BO29" s="45"/>
      <c r="BP29" s="49"/>
      <c r="BQ29" s="45"/>
      <c r="BR29" s="47"/>
      <c r="BS29" s="49"/>
      <c r="BT29" s="45">
        <f t="shared" si="1"/>
        <v>301</v>
      </c>
      <c r="BU29" s="49"/>
      <c r="BV29" s="52"/>
    </row>
    <row r="30" spans="1:74" ht="15" customHeight="1" x14ac:dyDescent="0.25">
      <c r="A30" s="42" t="s">
        <v>459</v>
      </c>
      <c r="B30" s="43" t="s">
        <v>460</v>
      </c>
      <c r="C30" s="44" t="s">
        <v>54</v>
      </c>
      <c r="D30" s="45">
        <v>21</v>
      </c>
      <c r="E30" s="45" t="s">
        <v>221</v>
      </c>
      <c r="F30" s="45" t="s">
        <v>164</v>
      </c>
      <c r="G30" s="45" t="s">
        <v>165</v>
      </c>
      <c r="H30" s="45" t="s">
        <v>57</v>
      </c>
      <c r="I30" s="46">
        <v>44944</v>
      </c>
      <c r="J30" s="45" t="s">
        <v>59</v>
      </c>
      <c r="K30" s="45" t="s">
        <v>60</v>
      </c>
      <c r="L30" s="45" t="s">
        <v>166</v>
      </c>
      <c r="M30" s="45" t="s">
        <v>167</v>
      </c>
      <c r="N30" s="45" t="s">
        <v>168</v>
      </c>
      <c r="O30" s="45" t="s">
        <v>169</v>
      </c>
      <c r="P30" s="47">
        <v>70400000</v>
      </c>
      <c r="Q30" s="47">
        <v>70400000</v>
      </c>
      <c r="R30" s="45">
        <v>10323</v>
      </c>
      <c r="S30" s="45" t="s">
        <v>63</v>
      </c>
      <c r="T30" s="45" t="s">
        <v>64</v>
      </c>
      <c r="U30" s="45" t="s">
        <v>65</v>
      </c>
      <c r="V30" s="45"/>
      <c r="W30" s="45" t="s">
        <v>170</v>
      </c>
      <c r="X30" s="45" t="s">
        <v>57</v>
      </c>
      <c r="Y30" s="46">
        <v>44945</v>
      </c>
      <c r="Z30" s="45" t="s">
        <v>67</v>
      </c>
      <c r="AA30" s="45"/>
      <c r="AB30" s="45" t="s">
        <v>68</v>
      </c>
      <c r="AC30" s="45" t="s">
        <v>69</v>
      </c>
      <c r="AD30" s="45" t="s">
        <v>171</v>
      </c>
      <c r="AE30" s="45">
        <v>52258308</v>
      </c>
      <c r="AF30" s="45" t="s">
        <v>141</v>
      </c>
      <c r="AG30" s="45" t="s">
        <v>605</v>
      </c>
      <c r="AH30" s="45" t="s">
        <v>551</v>
      </c>
      <c r="AI30" s="45" t="s">
        <v>467</v>
      </c>
      <c r="AJ30" s="48" t="s">
        <v>517</v>
      </c>
      <c r="AK30" s="49">
        <v>27505</v>
      </c>
      <c r="AL30" s="50">
        <f ca="1">+YEAR(TODAY())-YEAR(Tabla13[[#This Row],[FECHA DE NACIMIENTO]])</f>
        <v>48</v>
      </c>
      <c r="AM30" s="45">
        <v>20423</v>
      </c>
      <c r="AN30" s="46">
        <v>44945</v>
      </c>
      <c r="AO30" s="47">
        <v>70400000</v>
      </c>
      <c r="AP30" s="45"/>
      <c r="AQ30" s="45"/>
      <c r="AR30" s="45"/>
      <c r="AS30" s="51">
        <v>70400000</v>
      </c>
      <c r="AT30" s="45" t="s">
        <v>75</v>
      </c>
      <c r="AU30" s="46">
        <v>44945</v>
      </c>
      <c r="AV30" s="52" t="s">
        <v>74</v>
      </c>
      <c r="AW30" s="46">
        <v>44949</v>
      </c>
      <c r="AX30" s="46">
        <v>45282</v>
      </c>
      <c r="AY30" s="44">
        <f t="shared" si="0"/>
        <v>333</v>
      </c>
      <c r="AZ30" s="45" t="s">
        <v>172</v>
      </c>
      <c r="BA30" s="45">
        <v>79279880</v>
      </c>
      <c r="BB30" s="47"/>
      <c r="BC30" s="49"/>
      <c r="BD30" s="45"/>
      <c r="BE30" s="45"/>
      <c r="BF30" s="45"/>
      <c r="BG30" s="49"/>
      <c r="BH30" s="45"/>
      <c r="BI30" s="49"/>
      <c r="BJ30" s="47">
        <f>(Tabla13[[#This Row],[VALOR TOTAL CONTRATO + VF]]+Tabla13[[#This Row],[ADICION 1 ]]+Tabla13[[#This Row],[ADICION 2]]-Tabla13[[#This Row],[LIBERACION]])</f>
        <v>70400000</v>
      </c>
      <c r="BK30" s="45"/>
      <c r="BL30" s="49"/>
      <c r="BM30" s="49"/>
      <c r="BN30" s="45"/>
      <c r="BO30" s="45"/>
      <c r="BP30" s="49"/>
      <c r="BQ30" s="45"/>
      <c r="BR30" s="47"/>
      <c r="BS30" s="49"/>
      <c r="BT30" s="45">
        <f t="shared" si="1"/>
        <v>333</v>
      </c>
      <c r="BU30" s="49"/>
      <c r="BV30" s="52"/>
    </row>
    <row r="31" spans="1:74" ht="15" customHeight="1" x14ac:dyDescent="0.25">
      <c r="A31" s="42" t="s">
        <v>459</v>
      </c>
      <c r="B31" s="43" t="s">
        <v>460</v>
      </c>
      <c r="C31" s="44" t="s">
        <v>54</v>
      </c>
      <c r="D31" s="45">
        <v>31</v>
      </c>
      <c r="E31" s="45" t="s">
        <v>221</v>
      </c>
      <c r="F31" s="45" t="s">
        <v>173</v>
      </c>
      <c r="G31" s="45" t="s">
        <v>174</v>
      </c>
      <c r="H31" s="45" t="s">
        <v>57</v>
      </c>
      <c r="I31" s="46">
        <v>44944</v>
      </c>
      <c r="J31" s="45" t="s">
        <v>59</v>
      </c>
      <c r="K31" s="45" t="s">
        <v>60</v>
      </c>
      <c r="L31" s="45" t="s">
        <v>99</v>
      </c>
      <c r="M31" s="45" t="s">
        <v>175</v>
      </c>
      <c r="N31" s="45">
        <v>80161504</v>
      </c>
      <c r="O31" s="45" t="s">
        <v>138</v>
      </c>
      <c r="P31" s="47">
        <v>69000000</v>
      </c>
      <c r="Q31" s="47">
        <v>69000000</v>
      </c>
      <c r="R31" s="45">
        <v>13623</v>
      </c>
      <c r="S31" s="45" t="s">
        <v>63</v>
      </c>
      <c r="T31" s="45" t="s">
        <v>64</v>
      </c>
      <c r="U31" s="45" t="s">
        <v>65</v>
      </c>
      <c r="V31" s="45"/>
      <c r="W31" s="45" t="s">
        <v>176</v>
      </c>
      <c r="X31" s="45" t="s">
        <v>57</v>
      </c>
      <c r="Y31" s="46">
        <v>44945</v>
      </c>
      <c r="Z31" s="45" t="s">
        <v>67</v>
      </c>
      <c r="AA31" s="45"/>
      <c r="AB31" s="45" t="s">
        <v>68</v>
      </c>
      <c r="AC31" s="45" t="s">
        <v>69</v>
      </c>
      <c r="AD31" s="45" t="s">
        <v>177</v>
      </c>
      <c r="AE31" s="45">
        <v>77172059</v>
      </c>
      <c r="AF31" s="45" t="s">
        <v>141</v>
      </c>
      <c r="AG31" s="45" t="s">
        <v>602</v>
      </c>
      <c r="AH31" s="45" t="s">
        <v>551</v>
      </c>
      <c r="AI31" s="45" t="s">
        <v>467</v>
      </c>
      <c r="AJ31" s="48" t="s">
        <v>517</v>
      </c>
      <c r="AK31" s="49">
        <v>26694</v>
      </c>
      <c r="AL31" s="50">
        <f ca="1">+YEAR(TODAY())-YEAR(Tabla13[[#This Row],[FECHA DE NACIMIENTO]])</f>
        <v>50</v>
      </c>
      <c r="AM31" s="45">
        <v>20123</v>
      </c>
      <c r="AN31" s="46">
        <v>44945</v>
      </c>
      <c r="AO31" s="47">
        <v>69000000</v>
      </c>
      <c r="AP31" s="45"/>
      <c r="AQ31" s="45"/>
      <c r="AR31" s="45"/>
      <c r="AS31" s="51">
        <v>69000000</v>
      </c>
      <c r="AT31" s="45" t="s">
        <v>75</v>
      </c>
      <c r="AU31" s="46">
        <v>44944</v>
      </c>
      <c r="AV31" s="52" t="s">
        <v>74</v>
      </c>
      <c r="AW31" s="46">
        <v>44945</v>
      </c>
      <c r="AX31" s="46">
        <v>45291</v>
      </c>
      <c r="AY31" s="44">
        <f t="shared" si="0"/>
        <v>346</v>
      </c>
      <c r="AZ31" s="45" t="s">
        <v>178</v>
      </c>
      <c r="BA31" s="45">
        <v>39757630</v>
      </c>
      <c r="BB31" s="47"/>
      <c r="BC31" s="49"/>
      <c r="BD31" s="45"/>
      <c r="BE31" s="45"/>
      <c r="BF31" s="45"/>
      <c r="BG31" s="49"/>
      <c r="BH31" s="45"/>
      <c r="BI31" s="49"/>
      <c r="BJ31" s="47">
        <f>(Tabla13[[#This Row],[VALOR TOTAL CONTRATO + VF]]+Tabla13[[#This Row],[ADICION 1 ]]+Tabla13[[#This Row],[ADICION 2]]-Tabla13[[#This Row],[LIBERACION]])</f>
        <v>69000000</v>
      </c>
      <c r="BK31" s="45"/>
      <c r="BL31" s="49"/>
      <c r="BM31" s="49"/>
      <c r="BN31" s="45"/>
      <c r="BO31" s="45"/>
      <c r="BP31" s="49"/>
      <c r="BQ31" s="45"/>
      <c r="BR31" s="47"/>
      <c r="BS31" s="49"/>
      <c r="BT31" s="45">
        <f t="shared" si="1"/>
        <v>346</v>
      </c>
      <c r="BU31" s="49"/>
      <c r="BV31" s="52"/>
    </row>
    <row r="32" spans="1:74" ht="15" customHeight="1" x14ac:dyDescent="0.25">
      <c r="A32" s="42" t="s">
        <v>459</v>
      </c>
      <c r="B32" s="43" t="s">
        <v>460</v>
      </c>
      <c r="C32" s="44" t="s">
        <v>54</v>
      </c>
      <c r="D32" s="45">
        <v>227</v>
      </c>
      <c r="E32" s="45" t="s">
        <v>345</v>
      </c>
      <c r="F32" s="45" t="s">
        <v>312</v>
      </c>
      <c r="G32" s="45" t="s">
        <v>989</v>
      </c>
      <c r="H32" s="45" t="s">
        <v>57</v>
      </c>
      <c r="I32" s="46">
        <v>44944</v>
      </c>
      <c r="J32" s="45" t="s">
        <v>59</v>
      </c>
      <c r="K32" s="45" t="s">
        <v>290</v>
      </c>
      <c r="L32" s="45" t="s">
        <v>313</v>
      </c>
      <c r="M32" s="45" t="s">
        <v>314</v>
      </c>
      <c r="N32" s="45">
        <v>80161504</v>
      </c>
      <c r="O32" s="45" t="s">
        <v>315</v>
      </c>
      <c r="P32" s="47">
        <v>51750000</v>
      </c>
      <c r="Q32" s="47">
        <v>51750000</v>
      </c>
      <c r="R32" s="45">
        <v>14423</v>
      </c>
      <c r="S32" s="45" t="s">
        <v>316</v>
      </c>
      <c r="T32" s="45" t="s">
        <v>64</v>
      </c>
      <c r="U32" s="45" t="s">
        <v>65</v>
      </c>
      <c r="V32" s="45"/>
      <c r="W32" s="45" t="s">
        <v>444</v>
      </c>
      <c r="X32" s="45" t="s">
        <v>57</v>
      </c>
      <c r="Y32" s="46">
        <v>44946</v>
      </c>
      <c r="Z32" s="45" t="s">
        <v>67</v>
      </c>
      <c r="AA32" s="45"/>
      <c r="AB32" s="45" t="s">
        <v>295</v>
      </c>
      <c r="AC32" s="45" t="s">
        <v>69</v>
      </c>
      <c r="AD32" s="45" t="s">
        <v>317</v>
      </c>
      <c r="AE32" s="45">
        <v>1140420436</v>
      </c>
      <c r="AF32" s="45"/>
      <c r="AG32" s="45"/>
      <c r="AH32" s="45"/>
      <c r="AI32" s="45"/>
      <c r="AJ32" s="45"/>
      <c r="AK32" s="45"/>
      <c r="AL32" s="50">
        <f ca="1">+YEAR(TODAY())-YEAR(Tabla13[[#This Row],[FECHA DE NACIMIENTO]])</f>
        <v>123</v>
      </c>
      <c r="AM32" s="45">
        <v>19823</v>
      </c>
      <c r="AN32" s="46">
        <v>44945</v>
      </c>
      <c r="AO32" s="51">
        <v>51750000</v>
      </c>
      <c r="AP32" s="45"/>
      <c r="AQ32" s="45"/>
      <c r="AR32" s="45"/>
      <c r="AS32" s="51">
        <v>51750000</v>
      </c>
      <c r="AT32" s="45" t="s">
        <v>297</v>
      </c>
      <c r="AU32" s="46">
        <v>44944</v>
      </c>
      <c r="AV32" s="52" t="s">
        <v>74</v>
      </c>
      <c r="AW32" s="46">
        <v>44946</v>
      </c>
      <c r="AX32" s="46">
        <v>45291</v>
      </c>
      <c r="AY32" s="44">
        <f t="shared" si="0"/>
        <v>345</v>
      </c>
      <c r="AZ32" s="45" t="s">
        <v>318</v>
      </c>
      <c r="BA32" s="45">
        <v>1020712442</v>
      </c>
      <c r="BB32" s="47"/>
      <c r="BC32" s="49"/>
      <c r="BD32" s="45"/>
      <c r="BE32" s="45"/>
      <c r="BF32" s="45"/>
      <c r="BG32" s="49"/>
      <c r="BH32" s="45"/>
      <c r="BI32" s="49"/>
      <c r="BJ32" s="47">
        <f>(Tabla13[[#This Row],[VALOR TOTAL CONTRATO + VF]]+Tabla13[[#This Row],[ADICION 1 ]]+Tabla13[[#This Row],[ADICION 2]]-Tabla13[[#This Row],[LIBERACION]])</f>
        <v>51750000</v>
      </c>
      <c r="BK32" s="45"/>
      <c r="BL32" s="49"/>
      <c r="BM32" s="49"/>
      <c r="BN32" s="45"/>
      <c r="BO32" s="45"/>
      <c r="BP32" s="49"/>
      <c r="BQ32" s="45"/>
      <c r="BR32" s="47"/>
      <c r="BS32" s="49"/>
      <c r="BT32" s="45">
        <f t="shared" si="1"/>
        <v>345</v>
      </c>
      <c r="BU32" s="49"/>
      <c r="BV32" s="52"/>
    </row>
    <row r="33" spans="1:74" ht="15" customHeight="1" x14ac:dyDescent="0.25">
      <c r="A33" s="42" t="s">
        <v>459</v>
      </c>
      <c r="B33" s="43" t="s">
        <v>460</v>
      </c>
      <c r="C33" s="44" t="s">
        <v>54</v>
      </c>
      <c r="D33" s="45">
        <v>230</v>
      </c>
      <c r="E33" s="45" t="s">
        <v>55</v>
      </c>
      <c r="F33" s="45" t="s">
        <v>76</v>
      </c>
      <c r="G33" s="45" t="s">
        <v>77</v>
      </c>
      <c r="H33" s="45" t="s">
        <v>57</v>
      </c>
      <c r="I33" s="46">
        <v>44945</v>
      </c>
      <c r="J33" s="45" t="s">
        <v>59</v>
      </c>
      <c r="K33" s="45" t="s">
        <v>60</v>
      </c>
      <c r="L33" s="45" t="s">
        <v>78</v>
      </c>
      <c r="M33" s="45" t="s">
        <v>80</v>
      </c>
      <c r="N33" s="45">
        <v>80161504</v>
      </c>
      <c r="O33" s="45" t="s">
        <v>62</v>
      </c>
      <c r="P33" s="47">
        <v>85500000</v>
      </c>
      <c r="Q33" s="47">
        <v>85500000</v>
      </c>
      <c r="R33" s="45">
        <v>14323</v>
      </c>
      <c r="S33" s="45" t="s">
        <v>63</v>
      </c>
      <c r="T33" s="45" t="s">
        <v>64</v>
      </c>
      <c r="U33" s="45" t="s">
        <v>65</v>
      </c>
      <c r="V33" s="45"/>
      <c r="W33" s="45" t="s">
        <v>81</v>
      </c>
      <c r="X33" s="45" t="s">
        <v>57</v>
      </c>
      <c r="Y33" s="46">
        <v>44945</v>
      </c>
      <c r="Z33" s="45" t="s">
        <v>67</v>
      </c>
      <c r="AA33" s="45"/>
      <c r="AB33" s="45" t="s">
        <v>68</v>
      </c>
      <c r="AC33" s="45" t="s">
        <v>69</v>
      </c>
      <c r="AD33" s="45" t="s">
        <v>82</v>
      </c>
      <c r="AE33" s="45">
        <v>42149816</v>
      </c>
      <c r="AF33" s="45"/>
      <c r="AG33" s="45"/>
      <c r="AH33" s="45"/>
      <c r="AI33" s="45"/>
      <c r="AJ33" s="45"/>
      <c r="AK33" s="45"/>
      <c r="AL33" s="50">
        <f ca="1">+YEAR(TODAY())-YEAR(Tabla13[[#This Row],[FECHA DE NACIMIENTO]])</f>
        <v>123</v>
      </c>
      <c r="AM33" s="45">
        <v>21523</v>
      </c>
      <c r="AN33" s="46">
        <v>44946</v>
      </c>
      <c r="AO33" s="47">
        <v>85500000</v>
      </c>
      <c r="AP33" s="45"/>
      <c r="AQ33" s="45"/>
      <c r="AR33" s="45"/>
      <c r="AS33" s="47">
        <v>85500000</v>
      </c>
      <c r="AT33" s="45" t="s">
        <v>75</v>
      </c>
      <c r="AU33" s="46">
        <v>44945</v>
      </c>
      <c r="AV33" s="52" t="s">
        <v>74</v>
      </c>
      <c r="AW33" s="46">
        <v>44946</v>
      </c>
      <c r="AX33" s="46">
        <v>45230</v>
      </c>
      <c r="AY33" s="44">
        <f t="shared" si="0"/>
        <v>284</v>
      </c>
      <c r="AZ33" s="45" t="s">
        <v>83</v>
      </c>
      <c r="BA33" s="45">
        <v>51712658</v>
      </c>
      <c r="BB33" s="47"/>
      <c r="BC33" s="49"/>
      <c r="BD33" s="45"/>
      <c r="BE33" s="45"/>
      <c r="BF33" s="45"/>
      <c r="BG33" s="49"/>
      <c r="BH33" s="45"/>
      <c r="BI33" s="49"/>
      <c r="BJ33" s="47">
        <f>(Tabla13[[#This Row],[VALOR TOTAL CONTRATO + VF]]+Tabla13[[#This Row],[ADICION 1 ]]+Tabla13[[#This Row],[ADICION 2]]-Tabla13[[#This Row],[LIBERACION]])</f>
        <v>85500000</v>
      </c>
      <c r="BK33" s="45"/>
      <c r="BL33" s="49"/>
      <c r="BM33" s="49"/>
      <c r="BN33" s="45"/>
      <c r="BO33" s="45"/>
      <c r="BP33" s="49"/>
      <c r="BQ33" s="45"/>
      <c r="BR33" s="47"/>
      <c r="BS33" s="49"/>
      <c r="BT33" s="45">
        <f t="shared" si="1"/>
        <v>284</v>
      </c>
      <c r="BU33" s="49"/>
      <c r="BV33" s="52"/>
    </row>
    <row r="34" spans="1:74" ht="15" customHeight="1" x14ac:dyDescent="0.25">
      <c r="A34" s="42" t="s">
        <v>459</v>
      </c>
      <c r="B34" s="43" t="s">
        <v>460</v>
      </c>
      <c r="C34" s="44" t="s">
        <v>54</v>
      </c>
      <c r="D34" s="45">
        <v>50</v>
      </c>
      <c r="E34" s="45" t="s">
        <v>344</v>
      </c>
      <c r="F34" s="45" t="s">
        <v>231</v>
      </c>
      <c r="G34" s="45" t="s">
        <v>278</v>
      </c>
      <c r="H34" s="45" t="s">
        <v>57</v>
      </c>
      <c r="I34" s="46">
        <v>44945</v>
      </c>
      <c r="J34" s="45" t="s">
        <v>223</v>
      </c>
      <c r="K34" s="45" t="s">
        <v>224</v>
      </c>
      <c r="L34" s="45" t="s">
        <v>225</v>
      </c>
      <c r="M34" s="45" t="s">
        <v>232</v>
      </c>
      <c r="N34" s="45" t="s">
        <v>227</v>
      </c>
      <c r="O34" s="45" t="s">
        <v>228</v>
      </c>
      <c r="P34" s="47">
        <v>115000000</v>
      </c>
      <c r="Q34" s="47">
        <v>115000000</v>
      </c>
      <c r="R34" s="45">
        <v>12023</v>
      </c>
      <c r="S34" s="45" t="s">
        <v>89</v>
      </c>
      <c r="T34" s="45" t="s">
        <v>64</v>
      </c>
      <c r="U34" s="45" t="s">
        <v>65</v>
      </c>
      <c r="V34" s="45"/>
      <c r="W34" s="45" t="s">
        <v>233</v>
      </c>
      <c r="X34" s="45" t="s">
        <v>57</v>
      </c>
      <c r="Y34" s="46">
        <v>44950</v>
      </c>
      <c r="Z34" s="45" t="s">
        <v>67</v>
      </c>
      <c r="AA34" s="45"/>
      <c r="AB34" s="45" t="s">
        <v>68</v>
      </c>
      <c r="AC34" s="45" t="s">
        <v>69</v>
      </c>
      <c r="AD34" s="45" t="s">
        <v>426</v>
      </c>
      <c r="AE34" s="45">
        <v>1127617145</v>
      </c>
      <c r="AF34" s="45"/>
      <c r="AG34" s="45"/>
      <c r="AH34" s="45"/>
      <c r="AI34" s="45"/>
      <c r="AJ34" s="45"/>
      <c r="AK34" s="45"/>
      <c r="AL34" s="50">
        <f ca="1">+YEAR(TODAY())-YEAR(Tabla13[[#This Row],[FECHA DE NACIMIENTO]])</f>
        <v>123</v>
      </c>
      <c r="AM34" s="45">
        <v>21823</v>
      </c>
      <c r="AN34" s="46">
        <v>44946</v>
      </c>
      <c r="AO34" s="47">
        <v>115000000</v>
      </c>
      <c r="AP34" s="45"/>
      <c r="AQ34" s="45"/>
      <c r="AR34" s="45"/>
      <c r="AS34" s="51">
        <v>115000000</v>
      </c>
      <c r="AT34" s="45" t="s">
        <v>230</v>
      </c>
      <c r="AU34" s="46">
        <v>44946</v>
      </c>
      <c r="AV34" s="52" t="s">
        <v>74</v>
      </c>
      <c r="AW34" s="46">
        <v>44950</v>
      </c>
      <c r="AX34" s="46">
        <v>45291</v>
      </c>
      <c r="AY34" s="44">
        <f t="shared" si="0"/>
        <v>341</v>
      </c>
      <c r="AZ34" s="45" t="s">
        <v>92</v>
      </c>
      <c r="BA34" s="45">
        <v>19498970</v>
      </c>
      <c r="BB34" s="47"/>
      <c r="BC34" s="49"/>
      <c r="BD34" s="45"/>
      <c r="BE34" s="45"/>
      <c r="BF34" s="45"/>
      <c r="BG34" s="49"/>
      <c r="BH34" s="45"/>
      <c r="BI34" s="49"/>
      <c r="BJ34" s="47">
        <f>(Tabla13[[#This Row],[VALOR TOTAL CONTRATO + VF]]+Tabla13[[#This Row],[ADICION 1 ]]+Tabla13[[#This Row],[ADICION 2]]-Tabla13[[#This Row],[LIBERACION]])</f>
        <v>115000000</v>
      </c>
      <c r="BK34" s="45"/>
      <c r="BL34" s="49"/>
      <c r="BM34" s="49"/>
      <c r="BN34" s="45"/>
      <c r="BO34" s="45"/>
      <c r="BP34" s="49"/>
      <c r="BQ34" s="45"/>
      <c r="BR34" s="47"/>
      <c r="BS34" s="49"/>
      <c r="BT34" s="45">
        <f t="shared" si="1"/>
        <v>341</v>
      </c>
      <c r="BU34" s="49"/>
      <c r="BV34" s="52"/>
    </row>
    <row r="35" spans="1:74" ht="15" customHeight="1" x14ac:dyDescent="0.25">
      <c r="A35" s="42" t="s">
        <v>459</v>
      </c>
      <c r="B35" s="43" t="s">
        <v>460</v>
      </c>
      <c r="C35" s="44" t="s">
        <v>54</v>
      </c>
      <c r="D35" s="45">
        <v>48</v>
      </c>
      <c r="E35" s="45" t="s">
        <v>344</v>
      </c>
      <c r="F35" s="45" t="s">
        <v>234</v>
      </c>
      <c r="G35" s="45" t="s">
        <v>279</v>
      </c>
      <c r="H35" s="45" t="s">
        <v>57</v>
      </c>
      <c r="I35" s="46">
        <v>44945</v>
      </c>
      <c r="J35" s="45" t="s">
        <v>223</v>
      </c>
      <c r="K35" s="45" t="s">
        <v>224</v>
      </c>
      <c r="L35" s="45" t="s">
        <v>225</v>
      </c>
      <c r="M35" s="45" t="s">
        <v>232</v>
      </c>
      <c r="N35" s="45" t="s">
        <v>227</v>
      </c>
      <c r="O35" s="45" t="s">
        <v>228</v>
      </c>
      <c r="P35" s="47">
        <v>115000000</v>
      </c>
      <c r="Q35" s="47">
        <v>115000000</v>
      </c>
      <c r="R35" s="45">
        <v>11823</v>
      </c>
      <c r="S35" s="45" t="s">
        <v>89</v>
      </c>
      <c r="T35" s="45" t="s">
        <v>64</v>
      </c>
      <c r="U35" s="45" t="s">
        <v>65</v>
      </c>
      <c r="V35" s="45"/>
      <c r="W35" s="45" t="s">
        <v>235</v>
      </c>
      <c r="X35" s="45" t="s">
        <v>57</v>
      </c>
      <c r="Y35" s="46">
        <v>44950</v>
      </c>
      <c r="Z35" s="45" t="s">
        <v>67</v>
      </c>
      <c r="AA35" s="45"/>
      <c r="AB35" s="45" t="s">
        <v>68</v>
      </c>
      <c r="AC35" s="45" t="s">
        <v>69</v>
      </c>
      <c r="AD35" s="45" t="s">
        <v>236</v>
      </c>
      <c r="AE35" s="45">
        <v>72001417</v>
      </c>
      <c r="AF35" s="45"/>
      <c r="AG35" s="45"/>
      <c r="AH35" s="45"/>
      <c r="AI35" s="45"/>
      <c r="AJ35" s="45"/>
      <c r="AK35" s="45"/>
      <c r="AL35" s="50">
        <f ca="1">+YEAR(TODAY())-YEAR(Tabla13[[#This Row],[FECHA DE NACIMIENTO]])</f>
        <v>123</v>
      </c>
      <c r="AM35" s="45">
        <v>22323</v>
      </c>
      <c r="AN35" s="46">
        <v>44949</v>
      </c>
      <c r="AO35" s="47">
        <v>115000000</v>
      </c>
      <c r="AP35" s="45"/>
      <c r="AQ35" s="45"/>
      <c r="AR35" s="45"/>
      <c r="AS35" s="51">
        <v>115000000</v>
      </c>
      <c r="AT35" s="45" t="s">
        <v>230</v>
      </c>
      <c r="AU35" s="46">
        <v>44949</v>
      </c>
      <c r="AV35" s="52" t="s">
        <v>74</v>
      </c>
      <c r="AW35" s="46">
        <v>44950</v>
      </c>
      <c r="AX35" s="46">
        <v>45291</v>
      </c>
      <c r="AY35" s="44">
        <f t="shared" si="0"/>
        <v>341</v>
      </c>
      <c r="AZ35" s="45" t="s">
        <v>92</v>
      </c>
      <c r="BA35" s="45">
        <v>19498970</v>
      </c>
      <c r="BB35" s="47"/>
      <c r="BC35" s="49"/>
      <c r="BD35" s="45"/>
      <c r="BE35" s="45"/>
      <c r="BF35" s="45"/>
      <c r="BG35" s="49"/>
      <c r="BH35" s="45"/>
      <c r="BI35" s="49"/>
      <c r="BJ35" s="47">
        <f>(Tabla13[[#This Row],[VALOR TOTAL CONTRATO + VF]]+Tabla13[[#This Row],[ADICION 1 ]]+Tabla13[[#This Row],[ADICION 2]]-Tabla13[[#This Row],[LIBERACION]])</f>
        <v>115000000</v>
      </c>
      <c r="BK35" s="45"/>
      <c r="BL35" s="49"/>
      <c r="BM35" s="49"/>
      <c r="BN35" s="45"/>
      <c r="BO35" s="45"/>
      <c r="BP35" s="49"/>
      <c r="BQ35" s="45"/>
      <c r="BR35" s="47"/>
      <c r="BS35" s="49"/>
      <c r="BT35" s="45">
        <f t="shared" si="1"/>
        <v>341</v>
      </c>
      <c r="BU35" s="49"/>
      <c r="BV35" s="52"/>
    </row>
    <row r="36" spans="1:74" ht="15" customHeight="1" x14ac:dyDescent="0.25">
      <c r="A36" s="42" t="s">
        <v>459</v>
      </c>
      <c r="B36" s="43" t="s">
        <v>460</v>
      </c>
      <c r="C36" s="44" t="s">
        <v>54</v>
      </c>
      <c r="D36" s="45">
        <v>49</v>
      </c>
      <c r="E36" s="45" t="s">
        <v>344</v>
      </c>
      <c r="F36" s="45" t="s">
        <v>237</v>
      </c>
      <c r="G36" s="45" t="s">
        <v>280</v>
      </c>
      <c r="H36" s="45" t="s">
        <v>57</v>
      </c>
      <c r="I36" s="46">
        <v>44945</v>
      </c>
      <c r="J36" s="45" t="s">
        <v>223</v>
      </c>
      <c r="K36" s="45" t="s">
        <v>224</v>
      </c>
      <c r="L36" s="45" t="s">
        <v>225</v>
      </c>
      <c r="M36" s="45" t="s">
        <v>238</v>
      </c>
      <c r="N36" s="45" t="s">
        <v>227</v>
      </c>
      <c r="O36" s="45" t="s">
        <v>228</v>
      </c>
      <c r="P36" s="47">
        <v>115000000</v>
      </c>
      <c r="Q36" s="47">
        <v>115000000</v>
      </c>
      <c r="R36" s="45">
        <v>11923</v>
      </c>
      <c r="S36" s="45" t="s">
        <v>89</v>
      </c>
      <c r="T36" s="45" t="s">
        <v>64</v>
      </c>
      <c r="U36" s="45" t="s">
        <v>65</v>
      </c>
      <c r="V36" s="45"/>
      <c r="W36" s="45" t="s">
        <v>239</v>
      </c>
      <c r="X36" s="45" t="s">
        <v>57</v>
      </c>
      <c r="Y36" s="46">
        <v>44950</v>
      </c>
      <c r="Z36" s="45" t="s">
        <v>67</v>
      </c>
      <c r="AA36" s="45"/>
      <c r="AB36" s="45" t="s">
        <v>68</v>
      </c>
      <c r="AC36" s="45" t="s">
        <v>69</v>
      </c>
      <c r="AD36" s="45" t="s">
        <v>427</v>
      </c>
      <c r="AE36" s="45">
        <v>1070608285</v>
      </c>
      <c r="AF36" s="45"/>
      <c r="AG36" s="45"/>
      <c r="AH36" s="45"/>
      <c r="AI36" s="45"/>
      <c r="AJ36" s="45"/>
      <c r="AK36" s="45"/>
      <c r="AL36" s="50">
        <f ca="1">+YEAR(TODAY())-YEAR(Tabla13[[#This Row],[FECHA DE NACIMIENTO]])</f>
        <v>123</v>
      </c>
      <c r="AM36" s="45">
        <v>24323</v>
      </c>
      <c r="AN36" s="46">
        <v>44950</v>
      </c>
      <c r="AO36" s="47">
        <v>115000000</v>
      </c>
      <c r="AP36" s="45"/>
      <c r="AQ36" s="45"/>
      <c r="AR36" s="45"/>
      <c r="AS36" s="51">
        <v>115000000</v>
      </c>
      <c r="AT36" s="45" t="s">
        <v>230</v>
      </c>
      <c r="AU36" s="46">
        <v>44949</v>
      </c>
      <c r="AV36" s="52" t="s">
        <v>74</v>
      </c>
      <c r="AW36" s="46">
        <v>44950</v>
      </c>
      <c r="AX36" s="46">
        <v>45291</v>
      </c>
      <c r="AY36" s="44">
        <f t="shared" si="0"/>
        <v>341</v>
      </c>
      <c r="AZ36" s="45" t="s">
        <v>92</v>
      </c>
      <c r="BA36" s="45">
        <v>19498970</v>
      </c>
      <c r="BB36" s="47"/>
      <c r="BC36" s="49"/>
      <c r="BD36" s="45"/>
      <c r="BE36" s="45"/>
      <c r="BF36" s="45"/>
      <c r="BG36" s="49"/>
      <c r="BH36" s="45"/>
      <c r="BI36" s="49"/>
      <c r="BJ36" s="47">
        <f>(Tabla13[[#This Row],[VALOR TOTAL CONTRATO + VF]]+Tabla13[[#This Row],[ADICION 1 ]]+Tabla13[[#This Row],[ADICION 2]]-Tabla13[[#This Row],[LIBERACION]])</f>
        <v>115000000</v>
      </c>
      <c r="BK36" s="45"/>
      <c r="BL36" s="49"/>
      <c r="BM36" s="49"/>
      <c r="BN36" s="45"/>
      <c r="BO36" s="45"/>
      <c r="BP36" s="49"/>
      <c r="BQ36" s="45"/>
      <c r="BR36" s="47"/>
      <c r="BS36" s="49"/>
      <c r="BT36" s="45">
        <f t="shared" si="1"/>
        <v>341</v>
      </c>
      <c r="BU36" s="49"/>
      <c r="BV36" s="52"/>
    </row>
    <row r="37" spans="1:74" ht="15" customHeight="1" x14ac:dyDescent="0.25">
      <c r="A37" s="42" t="s">
        <v>459</v>
      </c>
      <c r="B37" s="43" t="s">
        <v>460</v>
      </c>
      <c r="C37" s="44" t="s">
        <v>54</v>
      </c>
      <c r="D37" s="45">
        <v>26</v>
      </c>
      <c r="E37" s="45" t="s">
        <v>344</v>
      </c>
      <c r="F37" s="45" t="s">
        <v>243</v>
      </c>
      <c r="G37" s="45" t="s">
        <v>282</v>
      </c>
      <c r="H37" s="45" t="s">
        <v>57</v>
      </c>
      <c r="I37" s="46">
        <v>44945</v>
      </c>
      <c r="J37" s="45" t="s">
        <v>223</v>
      </c>
      <c r="K37" s="45" t="s">
        <v>224</v>
      </c>
      <c r="L37" s="45" t="s">
        <v>244</v>
      </c>
      <c r="M37" s="45" t="s">
        <v>245</v>
      </c>
      <c r="N37" s="45" t="s">
        <v>246</v>
      </c>
      <c r="O37" s="45" t="s">
        <v>247</v>
      </c>
      <c r="P37" s="47">
        <v>60000000</v>
      </c>
      <c r="Q37" s="47">
        <v>60000000</v>
      </c>
      <c r="R37" s="45">
        <v>9923</v>
      </c>
      <c r="S37" s="45" t="s">
        <v>63</v>
      </c>
      <c r="T37" s="45" t="s">
        <v>64</v>
      </c>
      <c r="U37" s="45" t="s">
        <v>65</v>
      </c>
      <c r="V37" s="45"/>
      <c r="W37" s="45" t="s">
        <v>248</v>
      </c>
      <c r="X37" s="45" t="s">
        <v>57</v>
      </c>
      <c r="Y37" s="46">
        <v>44949</v>
      </c>
      <c r="Z37" s="45" t="s">
        <v>67</v>
      </c>
      <c r="AA37" s="45"/>
      <c r="AB37" s="45" t="s">
        <v>68</v>
      </c>
      <c r="AC37" s="45" t="s">
        <v>69</v>
      </c>
      <c r="AD37" s="45" t="s">
        <v>429</v>
      </c>
      <c r="AE37" s="45">
        <v>1075243527</v>
      </c>
      <c r="AF37" s="45"/>
      <c r="AG37" s="45"/>
      <c r="AH37" s="45"/>
      <c r="AI37" s="45"/>
      <c r="AJ37" s="45"/>
      <c r="AK37" s="45"/>
      <c r="AL37" s="50">
        <f ca="1">+YEAR(TODAY())-YEAR(Tabla13[[#This Row],[FECHA DE NACIMIENTO]])</f>
        <v>123</v>
      </c>
      <c r="AM37" s="45">
        <v>21623</v>
      </c>
      <c r="AN37" s="46">
        <v>44946</v>
      </c>
      <c r="AO37" s="47">
        <v>60000000</v>
      </c>
      <c r="AP37" s="45"/>
      <c r="AQ37" s="45"/>
      <c r="AR37" s="45"/>
      <c r="AS37" s="51">
        <v>60000000</v>
      </c>
      <c r="AT37" s="45" t="s">
        <v>230</v>
      </c>
      <c r="AU37" s="46">
        <v>44945</v>
      </c>
      <c r="AV37" s="52" t="s">
        <v>74</v>
      </c>
      <c r="AW37" s="46">
        <v>44949</v>
      </c>
      <c r="AX37" s="46">
        <v>45249</v>
      </c>
      <c r="AY37" s="44">
        <f t="shared" si="0"/>
        <v>300</v>
      </c>
      <c r="AZ37" s="45" t="s">
        <v>172</v>
      </c>
      <c r="BA37" s="45">
        <v>79279880</v>
      </c>
      <c r="BB37" s="47"/>
      <c r="BC37" s="49"/>
      <c r="BD37" s="45"/>
      <c r="BE37" s="45"/>
      <c r="BF37" s="45"/>
      <c r="BG37" s="49"/>
      <c r="BH37" s="45"/>
      <c r="BI37" s="49"/>
      <c r="BJ37" s="47">
        <f>(Tabla13[[#This Row],[VALOR TOTAL CONTRATO + VF]]+Tabla13[[#This Row],[ADICION 1 ]]+Tabla13[[#This Row],[ADICION 2]]-Tabla13[[#This Row],[LIBERACION]])</f>
        <v>60000000</v>
      </c>
      <c r="BK37" s="45"/>
      <c r="BL37" s="49"/>
      <c r="BM37" s="49"/>
      <c r="BN37" s="45"/>
      <c r="BO37" s="45"/>
      <c r="BP37" s="49"/>
      <c r="BQ37" s="45"/>
      <c r="BR37" s="47"/>
      <c r="BS37" s="49"/>
      <c r="BT37" s="45">
        <f t="shared" si="1"/>
        <v>300</v>
      </c>
      <c r="BU37" s="49"/>
      <c r="BV37" s="52"/>
    </row>
    <row r="38" spans="1:74" ht="15" customHeight="1" x14ac:dyDescent="0.25">
      <c r="A38" s="42" t="s">
        <v>459</v>
      </c>
      <c r="B38" s="43" t="s">
        <v>460</v>
      </c>
      <c r="C38" s="44" t="s">
        <v>54</v>
      </c>
      <c r="D38" s="45">
        <v>52</v>
      </c>
      <c r="E38" s="45" t="s">
        <v>55</v>
      </c>
      <c r="F38" s="45" t="s">
        <v>93</v>
      </c>
      <c r="G38" s="45" t="s">
        <v>94</v>
      </c>
      <c r="H38" s="45" t="s">
        <v>57</v>
      </c>
      <c r="I38" s="46">
        <v>44946</v>
      </c>
      <c r="J38" s="45" t="s">
        <v>59</v>
      </c>
      <c r="K38" s="45" t="s">
        <v>60</v>
      </c>
      <c r="L38" s="45" t="s">
        <v>86</v>
      </c>
      <c r="M38" s="45" t="s">
        <v>95</v>
      </c>
      <c r="N38" s="45">
        <v>81111500</v>
      </c>
      <c r="O38" s="45" t="s">
        <v>88</v>
      </c>
      <c r="P38" s="47">
        <v>92000000</v>
      </c>
      <c r="Q38" s="47">
        <v>92000000</v>
      </c>
      <c r="R38" s="45">
        <v>11023</v>
      </c>
      <c r="S38" s="45" t="s">
        <v>89</v>
      </c>
      <c r="T38" s="45" t="s">
        <v>64</v>
      </c>
      <c r="U38" s="45" t="s">
        <v>65</v>
      </c>
      <c r="V38" s="45"/>
      <c r="W38" s="45" t="s">
        <v>96</v>
      </c>
      <c r="X38" s="45" t="s">
        <v>57</v>
      </c>
      <c r="Y38" s="46">
        <v>44946</v>
      </c>
      <c r="Z38" s="45" t="s">
        <v>67</v>
      </c>
      <c r="AA38" s="45"/>
      <c r="AB38" s="45" t="s">
        <v>68</v>
      </c>
      <c r="AC38" s="45" t="s">
        <v>69</v>
      </c>
      <c r="AD38" s="45" t="s">
        <v>97</v>
      </c>
      <c r="AE38" s="45">
        <v>80798819</v>
      </c>
      <c r="AF38" s="45"/>
      <c r="AG38" s="45"/>
      <c r="AH38" s="45"/>
      <c r="AI38" s="45"/>
      <c r="AJ38" s="45"/>
      <c r="AK38" s="45"/>
      <c r="AL38" s="50">
        <f ca="1">+YEAR(TODAY())-YEAR(Tabla13[[#This Row],[FECHA DE NACIMIENTO]])</f>
        <v>123</v>
      </c>
      <c r="AM38" s="45">
        <v>22023</v>
      </c>
      <c r="AN38" s="46">
        <v>44949</v>
      </c>
      <c r="AO38" s="47">
        <v>92000000</v>
      </c>
      <c r="AP38" s="45"/>
      <c r="AQ38" s="45"/>
      <c r="AR38" s="45"/>
      <c r="AS38" s="47">
        <v>92000000</v>
      </c>
      <c r="AT38" s="45" t="s">
        <v>75</v>
      </c>
      <c r="AU38" s="46">
        <v>44946</v>
      </c>
      <c r="AV38" s="52" t="s">
        <v>74</v>
      </c>
      <c r="AW38" s="46">
        <v>44949</v>
      </c>
      <c r="AX38" s="46">
        <v>45291</v>
      </c>
      <c r="AY38" s="44">
        <f t="shared" si="0"/>
        <v>342</v>
      </c>
      <c r="AZ38" s="45" t="s">
        <v>92</v>
      </c>
      <c r="BA38" s="45">
        <v>19498970</v>
      </c>
      <c r="BB38" s="47"/>
      <c r="BC38" s="49"/>
      <c r="BD38" s="45"/>
      <c r="BE38" s="45"/>
      <c r="BF38" s="45"/>
      <c r="BG38" s="49"/>
      <c r="BH38" s="45"/>
      <c r="BI38" s="49"/>
      <c r="BJ38" s="47">
        <f>(Tabla13[[#This Row],[VALOR TOTAL CONTRATO + VF]]+Tabla13[[#This Row],[ADICION 1 ]]+Tabla13[[#This Row],[ADICION 2]]-Tabla13[[#This Row],[LIBERACION]])</f>
        <v>92000000</v>
      </c>
      <c r="BK38" s="45"/>
      <c r="BL38" s="49"/>
      <c r="BM38" s="49"/>
      <c r="BN38" s="45"/>
      <c r="BO38" s="45"/>
      <c r="BP38" s="49"/>
      <c r="BQ38" s="45"/>
      <c r="BR38" s="47"/>
      <c r="BS38" s="49"/>
      <c r="BT38" s="45">
        <f t="shared" si="1"/>
        <v>342</v>
      </c>
      <c r="BU38" s="49"/>
      <c r="BV38" s="52"/>
    </row>
    <row r="39" spans="1:74" ht="15" customHeight="1" x14ac:dyDescent="0.25">
      <c r="A39" s="42" t="s">
        <v>459</v>
      </c>
      <c r="B39" s="43" t="s">
        <v>460</v>
      </c>
      <c r="C39" s="44" t="s">
        <v>54</v>
      </c>
      <c r="D39" s="45">
        <v>55</v>
      </c>
      <c r="E39" s="45" t="s">
        <v>55</v>
      </c>
      <c r="F39" s="45" t="s">
        <v>111</v>
      </c>
      <c r="G39" s="45" t="s">
        <v>112</v>
      </c>
      <c r="H39" s="45" t="s">
        <v>57</v>
      </c>
      <c r="I39" s="46">
        <v>44946</v>
      </c>
      <c r="J39" s="45" t="s">
        <v>59</v>
      </c>
      <c r="K39" s="45" t="s">
        <v>60</v>
      </c>
      <c r="L39" s="45" t="s">
        <v>86</v>
      </c>
      <c r="M39" s="45" t="s">
        <v>113</v>
      </c>
      <c r="N39" s="45">
        <v>80101500</v>
      </c>
      <c r="O39" s="45" t="s">
        <v>62</v>
      </c>
      <c r="P39" s="47">
        <v>121000000</v>
      </c>
      <c r="Q39" s="47">
        <v>121000000</v>
      </c>
      <c r="R39" s="45">
        <v>13323</v>
      </c>
      <c r="S39" s="45" t="s">
        <v>89</v>
      </c>
      <c r="T39" s="45" t="s">
        <v>64</v>
      </c>
      <c r="U39" s="45" t="s">
        <v>65</v>
      </c>
      <c r="V39" s="45"/>
      <c r="W39" s="45" t="s">
        <v>114</v>
      </c>
      <c r="X39" s="45" t="s">
        <v>57</v>
      </c>
      <c r="Y39" s="46">
        <v>44946</v>
      </c>
      <c r="Z39" s="45" t="s">
        <v>67</v>
      </c>
      <c r="AA39" s="45"/>
      <c r="AB39" s="45" t="s">
        <v>68</v>
      </c>
      <c r="AC39" s="45" t="s">
        <v>69</v>
      </c>
      <c r="AD39" s="45" t="s">
        <v>421</v>
      </c>
      <c r="AE39" s="45">
        <v>52440980</v>
      </c>
      <c r="AF39" s="45"/>
      <c r="AG39" s="45"/>
      <c r="AH39" s="45"/>
      <c r="AI39" s="45"/>
      <c r="AJ39" s="45"/>
      <c r="AK39" s="45"/>
      <c r="AL39" s="50">
        <f ca="1">+YEAR(TODAY())-YEAR(Tabla13[[#This Row],[FECHA DE NACIMIENTO]])</f>
        <v>123</v>
      </c>
      <c r="AM39" s="45">
        <v>22123</v>
      </c>
      <c r="AN39" s="46">
        <v>44949</v>
      </c>
      <c r="AO39" s="47">
        <v>121000000</v>
      </c>
      <c r="AP39" s="45"/>
      <c r="AQ39" s="45"/>
      <c r="AR39" s="45"/>
      <c r="AS39" s="51">
        <v>121000000</v>
      </c>
      <c r="AT39" s="45" t="s">
        <v>75</v>
      </c>
      <c r="AU39" s="46">
        <v>44949</v>
      </c>
      <c r="AV39" s="52" t="s">
        <v>74</v>
      </c>
      <c r="AW39" s="46">
        <v>44949</v>
      </c>
      <c r="AX39" s="46">
        <v>45291</v>
      </c>
      <c r="AY39" s="44">
        <f t="shared" si="0"/>
        <v>342</v>
      </c>
      <c r="AZ39" s="45" t="s">
        <v>92</v>
      </c>
      <c r="BA39" s="45">
        <v>19498970</v>
      </c>
      <c r="BB39" s="47"/>
      <c r="BC39" s="49"/>
      <c r="BD39" s="45"/>
      <c r="BE39" s="45"/>
      <c r="BF39" s="45"/>
      <c r="BG39" s="49"/>
      <c r="BH39" s="45"/>
      <c r="BI39" s="49"/>
      <c r="BJ39" s="47">
        <f>(Tabla13[[#This Row],[VALOR TOTAL CONTRATO + VF]]+Tabla13[[#This Row],[ADICION 1 ]]+Tabla13[[#This Row],[ADICION 2]]-Tabla13[[#This Row],[LIBERACION]])</f>
        <v>121000000</v>
      </c>
      <c r="BK39" s="45"/>
      <c r="BL39" s="49"/>
      <c r="BM39" s="49"/>
      <c r="BN39" s="45"/>
      <c r="BO39" s="45"/>
      <c r="BP39" s="49"/>
      <c r="BQ39" s="45"/>
      <c r="BR39" s="47"/>
      <c r="BS39" s="49"/>
      <c r="BT39" s="45">
        <f t="shared" si="1"/>
        <v>342</v>
      </c>
      <c r="BU39" s="49"/>
      <c r="BV39" s="52"/>
    </row>
    <row r="40" spans="1:74" ht="15" customHeight="1" x14ac:dyDescent="0.25">
      <c r="A40" s="42" t="s">
        <v>459</v>
      </c>
      <c r="B40" s="43" t="s">
        <v>460</v>
      </c>
      <c r="C40" s="44" t="s">
        <v>54</v>
      </c>
      <c r="D40" s="45">
        <v>226</v>
      </c>
      <c r="E40" s="45" t="s">
        <v>345</v>
      </c>
      <c r="F40" s="45" t="s">
        <v>319</v>
      </c>
      <c r="G40" s="45" t="s">
        <v>990</v>
      </c>
      <c r="H40" s="45" t="s">
        <v>57</v>
      </c>
      <c r="I40" s="46">
        <v>44946</v>
      </c>
      <c r="J40" s="45" t="s">
        <v>59</v>
      </c>
      <c r="K40" s="45" t="s">
        <v>290</v>
      </c>
      <c r="L40" s="45" t="s">
        <v>313</v>
      </c>
      <c r="M40" s="45" t="s">
        <v>320</v>
      </c>
      <c r="N40" s="45">
        <v>80161504</v>
      </c>
      <c r="O40" s="45" t="s">
        <v>315</v>
      </c>
      <c r="P40" s="47">
        <v>57500000</v>
      </c>
      <c r="Q40" s="47">
        <v>57500000</v>
      </c>
      <c r="R40" s="45">
        <v>14223</v>
      </c>
      <c r="S40" s="45" t="s">
        <v>63</v>
      </c>
      <c r="T40" s="45" t="s">
        <v>64</v>
      </c>
      <c r="U40" s="45" t="s">
        <v>65</v>
      </c>
      <c r="V40" s="45"/>
      <c r="W40" s="45" t="s">
        <v>445</v>
      </c>
      <c r="X40" s="45" t="s">
        <v>57</v>
      </c>
      <c r="Y40" s="46">
        <v>44949</v>
      </c>
      <c r="Z40" s="45" t="s">
        <v>67</v>
      </c>
      <c r="AA40" s="45"/>
      <c r="AB40" s="45" t="s">
        <v>295</v>
      </c>
      <c r="AC40" s="45" t="s">
        <v>69</v>
      </c>
      <c r="AD40" s="45" t="s">
        <v>321</v>
      </c>
      <c r="AE40" s="45">
        <v>1020743029</v>
      </c>
      <c r="AF40" s="45"/>
      <c r="AG40" s="45"/>
      <c r="AH40" s="45"/>
      <c r="AI40" s="45"/>
      <c r="AJ40" s="45"/>
      <c r="AK40" s="45"/>
      <c r="AL40" s="50">
        <f ca="1">+YEAR(TODAY())-YEAR(Tabla13[[#This Row],[FECHA DE NACIMIENTO]])</f>
        <v>123</v>
      </c>
      <c r="AM40" s="45">
        <v>21723</v>
      </c>
      <c r="AN40" s="46">
        <v>44946</v>
      </c>
      <c r="AO40" s="51">
        <v>57500000</v>
      </c>
      <c r="AP40" s="45"/>
      <c r="AQ40" s="45"/>
      <c r="AR40" s="45"/>
      <c r="AS40" s="51">
        <v>57500000</v>
      </c>
      <c r="AT40" s="45" t="s">
        <v>297</v>
      </c>
      <c r="AU40" s="46">
        <v>44949</v>
      </c>
      <c r="AV40" s="52" t="s">
        <v>74</v>
      </c>
      <c r="AW40" s="46">
        <v>44950</v>
      </c>
      <c r="AX40" s="46">
        <v>45291</v>
      </c>
      <c r="AY40" s="44">
        <f t="shared" si="0"/>
        <v>341</v>
      </c>
      <c r="AZ40" s="45" t="s">
        <v>322</v>
      </c>
      <c r="BA40" s="45">
        <v>51712658</v>
      </c>
      <c r="BB40" s="47"/>
      <c r="BC40" s="49"/>
      <c r="BD40" s="45"/>
      <c r="BE40" s="45"/>
      <c r="BF40" s="45"/>
      <c r="BG40" s="49"/>
      <c r="BH40" s="45"/>
      <c r="BI40" s="49"/>
      <c r="BJ40" s="47">
        <f>(Tabla13[[#This Row],[VALOR TOTAL CONTRATO + VF]]+Tabla13[[#This Row],[ADICION 1 ]]+Tabla13[[#This Row],[ADICION 2]]-Tabla13[[#This Row],[LIBERACION]])</f>
        <v>57500000</v>
      </c>
      <c r="BK40" s="45"/>
      <c r="BL40" s="49"/>
      <c r="BM40" s="49"/>
      <c r="BN40" s="45"/>
      <c r="BO40" s="45"/>
      <c r="BP40" s="49"/>
      <c r="BQ40" s="45"/>
      <c r="BR40" s="47"/>
      <c r="BS40" s="49"/>
      <c r="BT40" s="45">
        <f t="shared" si="1"/>
        <v>341</v>
      </c>
      <c r="BU40" s="49"/>
      <c r="BV40" s="52"/>
    </row>
    <row r="41" spans="1:74" ht="15" customHeight="1" x14ac:dyDescent="0.25">
      <c r="A41" s="42" t="s">
        <v>459</v>
      </c>
      <c r="B41" s="43" t="s">
        <v>460</v>
      </c>
      <c r="C41" s="44" t="s">
        <v>54</v>
      </c>
      <c r="D41" s="45">
        <v>29</v>
      </c>
      <c r="E41" s="45" t="s">
        <v>344</v>
      </c>
      <c r="F41" s="45" t="s">
        <v>249</v>
      </c>
      <c r="G41" s="45" t="s">
        <v>283</v>
      </c>
      <c r="H41" s="45" t="s">
        <v>57</v>
      </c>
      <c r="I41" s="46">
        <v>44949</v>
      </c>
      <c r="J41" s="45" t="s">
        <v>223</v>
      </c>
      <c r="K41" s="45" t="s">
        <v>224</v>
      </c>
      <c r="L41" s="45" t="s">
        <v>250</v>
      </c>
      <c r="M41" s="45" t="s">
        <v>251</v>
      </c>
      <c r="N41" s="45" t="s">
        <v>246</v>
      </c>
      <c r="O41" s="45" t="s">
        <v>247</v>
      </c>
      <c r="P41" s="47">
        <v>47150000</v>
      </c>
      <c r="Q41" s="47">
        <v>47150000</v>
      </c>
      <c r="R41" s="45">
        <v>13423</v>
      </c>
      <c r="S41" s="45" t="s">
        <v>63</v>
      </c>
      <c r="T41" s="45" t="s">
        <v>64</v>
      </c>
      <c r="U41" s="45" t="s">
        <v>65</v>
      </c>
      <c r="V41" s="45"/>
      <c r="W41" s="45" t="s">
        <v>252</v>
      </c>
      <c r="X41" s="45" t="s">
        <v>57</v>
      </c>
      <c r="Y41" s="46">
        <v>44950</v>
      </c>
      <c r="Z41" s="45" t="s">
        <v>67</v>
      </c>
      <c r="AA41" s="45"/>
      <c r="AB41" s="45" t="s">
        <v>68</v>
      </c>
      <c r="AC41" s="45" t="s">
        <v>69</v>
      </c>
      <c r="AD41" s="45" t="s">
        <v>253</v>
      </c>
      <c r="AE41" s="45">
        <v>79727331</v>
      </c>
      <c r="AF41" s="45"/>
      <c r="AG41" s="45"/>
      <c r="AH41" s="45"/>
      <c r="AI41" s="45"/>
      <c r="AJ41" s="45"/>
      <c r="AK41" s="45"/>
      <c r="AL41" s="50">
        <f ca="1">+YEAR(TODAY())-YEAR(Tabla13[[#This Row],[FECHA DE NACIMIENTO]])</f>
        <v>123</v>
      </c>
      <c r="AM41" s="45">
        <v>24823</v>
      </c>
      <c r="AN41" s="46">
        <v>44950</v>
      </c>
      <c r="AO41" s="47">
        <v>47150000</v>
      </c>
      <c r="AP41" s="45"/>
      <c r="AQ41" s="45"/>
      <c r="AR41" s="45"/>
      <c r="AS41" s="51">
        <v>47150000</v>
      </c>
      <c r="AT41" s="45" t="s">
        <v>230</v>
      </c>
      <c r="AU41" s="46">
        <v>44949</v>
      </c>
      <c r="AV41" s="52" t="s">
        <v>74</v>
      </c>
      <c r="AW41" s="46">
        <v>44950</v>
      </c>
      <c r="AX41" s="46">
        <v>45291</v>
      </c>
      <c r="AY41" s="44">
        <f t="shared" si="0"/>
        <v>341</v>
      </c>
      <c r="AZ41" s="45" t="s">
        <v>437</v>
      </c>
      <c r="BA41" s="45">
        <v>393757630</v>
      </c>
      <c r="BB41" s="47"/>
      <c r="BC41" s="49"/>
      <c r="BD41" s="45"/>
      <c r="BE41" s="45"/>
      <c r="BF41" s="45"/>
      <c r="BG41" s="49"/>
      <c r="BH41" s="45"/>
      <c r="BI41" s="49"/>
      <c r="BJ41" s="47">
        <f>(Tabla13[[#This Row],[VALOR TOTAL CONTRATO + VF]]+Tabla13[[#This Row],[ADICION 1 ]]+Tabla13[[#This Row],[ADICION 2]]-Tabla13[[#This Row],[LIBERACION]])</f>
        <v>47150000</v>
      </c>
      <c r="BK41" s="45"/>
      <c r="BL41" s="49"/>
      <c r="BM41" s="49"/>
      <c r="BN41" s="45"/>
      <c r="BO41" s="45"/>
      <c r="BP41" s="49"/>
      <c r="BQ41" s="45"/>
      <c r="BR41" s="47"/>
      <c r="BS41" s="49"/>
      <c r="BT41" s="45">
        <f t="shared" si="1"/>
        <v>341</v>
      </c>
      <c r="BU41" s="49"/>
      <c r="BV41" s="52"/>
    </row>
    <row r="42" spans="1:74" ht="15" customHeight="1" x14ac:dyDescent="0.25">
      <c r="A42" s="42" t="s">
        <v>459</v>
      </c>
      <c r="B42" s="43" t="s">
        <v>460</v>
      </c>
      <c r="C42" s="44" t="s">
        <v>54</v>
      </c>
      <c r="D42" s="45">
        <v>33</v>
      </c>
      <c r="E42" s="45" t="s">
        <v>344</v>
      </c>
      <c r="F42" s="45" t="s">
        <v>254</v>
      </c>
      <c r="G42" s="45" t="s">
        <v>284</v>
      </c>
      <c r="H42" s="45" t="s">
        <v>57</v>
      </c>
      <c r="I42" s="46">
        <v>44949</v>
      </c>
      <c r="J42" s="45" t="s">
        <v>223</v>
      </c>
      <c r="K42" s="45" t="s">
        <v>224</v>
      </c>
      <c r="L42" s="45" t="s">
        <v>250</v>
      </c>
      <c r="M42" s="45" t="s">
        <v>255</v>
      </c>
      <c r="N42" s="45" t="s">
        <v>256</v>
      </c>
      <c r="O42" s="45" t="s">
        <v>247</v>
      </c>
      <c r="P42" s="47">
        <v>77000000</v>
      </c>
      <c r="Q42" s="47">
        <v>77000000</v>
      </c>
      <c r="R42" s="45">
        <v>12523</v>
      </c>
      <c r="S42" s="45" t="s">
        <v>63</v>
      </c>
      <c r="T42" s="45" t="s">
        <v>64</v>
      </c>
      <c r="U42" s="45" t="s">
        <v>65</v>
      </c>
      <c r="V42" s="45"/>
      <c r="W42" s="45" t="s">
        <v>257</v>
      </c>
      <c r="X42" s="45" t="s">
        <v>57</v>
      </c>
      <c r="Y42" s="46">
        <v>44952</v>
      </c>
      <c r="Z42" s="45" t="s">
        <v>67</v>
      </c>
      <c r="AA42" s="45"/>
      <c r="AB42" s="45" t="s">
        <v>68</v>
      </c>
      <c r="AC42" s="45" t="s">
        <v>69</v>
      </c>
      <c r="AD42" s="45" t="s">
        <v>430</v>
      </c>
      <c r="AE42" s="45">
        <v>52515581</v>
      </c>
      <c r="AF42" s="45"/>
      <c r="AG42" s="45"/>
      <c r="AH42" s="45"/>
      <c r="AI42" s="45"/>
      <c r="AJ42" s="45"/>
      <c r="AK42" s="45"/>
      <c r="AL42" s="50">
        <f ca="1">+YEAR(TODAY())-YEAR(Tabla13[[#This Row],[FECHA DE NACIMIENTO]])</f>
        <v>123</v>
      </c>
      <c r="AM42" s="45">
        <v>24723</v>
      </c>
      <c r="AN42" s="46">
        <v>44950</v>
      </c>
      <c r="AO42" s="47">
        <v>77000000</v>
      </c>
      <c r="AP42" s="45"/>
      <c r="AQ42" s="45"/>
      <c r="AR42" s="45"/>
      <c r="AS42" s="51">
        <v>77000000</v>
      </c>
      <c r="AT42" s="45" t="s">
        <v>230</v>
      </c>
      <c r="AU42" s="46">
        <v>44950</v>
      </c>
      <c r="AV42" s="52" t="s">
        <v>74</v>
      </c>
      <c r="AW42" s="46">
        <v>44952</v>
      </c>
      <c r="AX42" s="46">
        <v>45283</v>
      </c>
      <c r="AY42" s="44">
        <f t="shared" si="0"/>
        <v>331</v>
      </c>
      <c r="AZ42" s="45" t="s">
        <v>437</v>
      </c>
      <c r="BA42" s="45">
        <v>393757630</v>
      </c>
      <c r="BB42" s="47"/>
      <c r="BC42" s="49"/>
      <c r="BD42" s="45"/>
      <c r="BE42" s="45"/>
      <c r="BF42" s="45"/>
      <c r="BG42" s="49"/>
      <c r="BH42" s="45"/>
      <c r="BI42" s="49"/>
      <c r="BJ42" s="47">
        <f>(Tabla13[[#This Row],[VALOR TOTAL CONTRATO + VF]]+Tabla13[[#This Row],[ADICION 1 ]]+Tabla13[[#This Row],[ADICION 2]]-Tabla13[[#This Row],[LIBERACION]])</f>
        <v>77000000</v>
      </c>
      <c r="BK42" s="45"/>
      <c r="BL42" s="49"/>
      <c r="BM42" s="49"/>
      <c r="BN42" s="45"/>
      <c r="BO42" s="45"/>
      <c r="BP42" s="49"/>
      <c r="BQ42" s="45"/>
      <c r="BR42" s="47"/>
      <c r="BS42" s="49"/>
      <c r="BT42" s="45">
        <f t="shared" si="1"/>
        <v>331</v>
      </c>
      <c r="BU42" s="49"/>
      <c r="BV42" s="52"/>
    </row>
    <row r="43" spans="1:74" ht="15.75" customHeight="1" x14ac:dyDescent="0.25">
      <c r="A43" s="42" t="s">
        <v>459</v>
      </c>
      <c r="B43" s="43" t="s">
        <v>460</v>
      </c>
      <c r="C43" s="44" t="s">
        <v>54</v>
      </c>
      <c r="D43" s="45">
        <v>51</v>
      </c>
      <c r="E43" s="45" t="s">
        <v>344</v>
      </c>
      <c r="F43" s="45" t="s">
        <v>240</v>
      </c>
      <c r="G43" s="45" t="s">
        <v>281</v>
      </c>
      <c r="H43" s="45" t="s">
        <v>57</v>
      </c>
      <c r="I43" s="46">
        <v>44950</v>
      </c>
      <c r="J43" s="45" t="s">
        <v>223</v>
      </c>
      <c r="K43" s="45" t="s">
        <v>224</v>
      </c>
      <c r="L43" s="45" t="s">
        <v>225</v>
      </c>
      <c r="M43" s="45" t="s">
        <v>241</v>
      </c>
      <c r="N43" s="45" t="s">
        <v>227</v>
      </c>
      <c r="O43" s="45" t="s">
        <v>228</v>
      </c>
      <c r="P43" s="47">
        <v>80500000</v>
      </c>
      <c r="Q43" s="47">
        <v>80500000</v>
      </c>
      <c r="R43" s="45">
        <v>12123</v>
      </c>
      <c r="S43" s="45" t="s">
        <v>89</v>
      </c>
      <c r="T43" s="45" t="s">
        <v>64</v>
      </c>
      <c r="U43" s="45" t="s">
        <v>65</v>
      </c>
      <c r="V43" s="45"/>
      <c r="W43" s="45" t="s">
        <v>242</v>
      </c>
      <c r="X43" s="45" t="s">
        <v>57</v>
      </c>
      <c r="Y43" s="46">
        <v>44951</v>
      </c>
      <c r="Z43" s="45" t="s">
        <v>67</v>
      </c>
      <c r="AA43" s="45"/>
      <c r="AB43" s="45" t="s">
        <v>68</v>
      </c>
      <c r="AC43" s="45" t="s">
        <v>69</v>
      </c>
      <c r="AD43" s="45" t="s">
        <v>428</v>
      </c>
      <c r="AE43" s="45">
        <v>72192898</v>
      </c>
      <c r="AF43" s="45"/>
      <c r="AG43" s="45"/>
      <c r="AH43" s="45"/>
      <c r="AI43" s="45"/>
      <c r="AJ43" s="45"/>
      <c r="AK43" s="45"/>
      <c r="AL43" s="50">
        <f ca="1">+YEAR(TODAY())-YEAR(Tabla13[[#This Row],[FECHA DE NACIMIENTO]])</f>
        <v>123</v>
      </c>
      <c r="AM43" s="45">
        <v>24623</v>
      </c>
      <c r="AN43" s="46">
        <v>44950</v>
      </c>
      <c r="AO43" s="47">
        <v>80500000</v>
      </c>
      <c r="AP43" s="45"/>
      <c r="AQ43" s="45"/>
      <c r="AR43" s="45"/>
      <c r="AS43" s="51">
        <v>80500000</v>
      </c>
      <c r="AT43" s="45" t="s">
        <v>230</v>
      </c>
      <c r="AU43" s="46">
        <v>44950</v>
      </c>
      <c r="AV43" s="52" t="s">
        <v>74</v>
      </c>
      <c r="AW43" s="46">
        <v>44951</v>
      </c>
      <c r="AX43" s="46">
        <v>45291</v>
      </c>
      <c r="AY43" s="44">
        <f t="shared" si="0"/>
        <v>340</v>
      </c>
      <c r="AZ43" s="45" t="s">
        <v>92</v>
      </c>
      <c r="BA43" s="45">
        <v>19498970</v>
      </c>
      <c r="BB43" s="47"/>
      <c r="BC43" s="49"/>
      <c r="BD43" s="45"/>
      <c r="BE43" s="45"/>
      <c r="BF43" s="45"/>
      <c r="BG43" s="49"/>
      <c r="BH43" s="45"/>
      <c r="BI43" s="49"/>
      <c r="BJ43" s="47">
        <f>(Tabla13[[#This Row],[VALOR TOTAL CONTRATO + VF]]+Tabla13[[#This Row],[ADICION 1 ]]+Tabla13[[#This Row],[ADICION 2]]-Tabla13[[#This Row],[LIBERACION]])</f>
        <v>80500000</v>
      </c>
      <c r="BK43" s="45"/>
      <c r="BL43" s="49"/>
      <c r="BM43" s="49"/>
      <c r="BN43" s="45"/>
      <c r="BO43" s="45"/>
      <c r="BP43" s="49"/>
      <c r="BQ43" s="45"/>
      <c r="BR43" s="47"/>
      <c r="BS43" s="49"/>
      <c r="BT43" s="45">
        <f t="shared" si="1"/>
        <v>340</v>
      </c>
      <c r="BU43" s="49"/>
      <c r="BV43" s="52"/>
    </row>
    <row r="44" spans="1:74" s="54" customFormat="1" ht="15.75" customHeight="1" x14ac:dyDescent="0.25">
      <c r="A44" s="42" t="s">
        <v>459</v>
      </c>
      <c r="B44" s="43" t="s">
        <v>460</v>
      </c>
      <c r="C44" s="44" t="s">
        <v>54</v>
      </c>
      <c r="D44" s="45">
        <v>251</v>
      </c>
      <c r="E44" s="45" t="s">
        <v>344</v>
      </c>
      <c r="F44" s="45" t="s">
        <v>258</v>
      </c>
      <c r="G44" s="45" t="s">
        <v>285</v>
      </c>
      <c r="H44" s="45" t="s">
        <v>57</v>
      </c>
      <c r="I44" s="46">
        <v>44950</v>
      </c>
      <c r="J44" s="45" t="s">
        <v>223</v>
      </c>
      <c r="K44" s="45" t="s">
        <v>224</v>
      </c>
      <c r="L44" s="45" t="s">
        <v>259</v>
      </c>
      <c r="M44" s="45" t="s">
        <v>260</v>
      </c>
      <c r="N44" s="45" t="s">
        <v>261</v>
      </c>
      <c r="O44" s="45" t="s">
        <v>262</v>
      </c>
      <c r="P44" s="47">
        <v>52500000</v>
      </c>
      <c r="Q44" s="47">
        <v>52500000</v>
      </c>
      <c r="R44" s="45">
        <v>14123</v>
      </c>
      <c r="S44" s="45" t="s">
        <v>63</v>
      </c>
      <c r="T44" s="45" t="s">
        <v>64</v>
      </c>
      <c r="U44" s="45" t="s">
        <v>65</v>
      </c>
      <c r="V44" s="45"/>
      <c r="W44" s="45" t="s">
        <v>263</v>
      </c>
      <c r="X44" s="45" t="s">
        <v>57</v>
      </c>
      <c r="Y44" s="46">
        <v>44952</v>
      </c>
      <c r="Z44" s="45" t="s">
        <v>67</v>
      </c>
      <c r="AA44" s="45"/>
      <c r="AB44" s="45" t="s">
        <v>68</v>
      </c>
      <c r="AC44" s="45" t="s">
        <v>69</v>
      </c>
      <c r="AD44" s="45" t="s">
        <v>264</v>
      </c>
      <c r="AE44" s="45">
        <v>1014207920</v>
      </c>
      <c r="AF44" s="45"/>
      <c r="AG44" s="45"/>
      <c r="AH44" s="45"/>
      <c r="AI44" s="45"/>
      <c r="AJ44" s="45"/>
      <c r="AK44" s="45"/>
      <c r="AL44" s="50">
        <f ca="1">+YEAR(TODAY())-YEAR(Tabla13[[#This Row],[FECHA DE NACIMIENTO]])</f>
        <v>123</v>
      </c>
      <c r="AM44" s="45">
        <v>27623</v>
      </c>
      <c r="AN44" s="46">
        <v>44952</v>
      </c>
      <c r="AO44" s="47">
        <v>52500000</v>
      </c>
      <c r="AP44" s="45"/>
      <c r="AQ44" s="45"/>
      <c r="AR44" s="45"/>
      <c r="AS44" s="51">
        <v>52500000</v>
      </c>
      <c r="AT44" s="45" t="s">
        <v>230</v>
      </c>
      <c r="AU44" s="46">
        <v>44951</v>
      </c>
      <c r="AV44" s="52" t="s">
        <v>74</v>
      </c>
      <c r="AW44" s="46">
        <v>44952</v>
      </c>
      <c r="AX44" s="46">
        <v>45164</v>
      </c>
      <c r="AY44" s="44">
        <f t="shared" si="0"/>
        <v>212</v>
      </c>
      <c r="AZ44" s="45" t="s">
        <v>438</v>
      </c>
      <c r="BA44" s="45">
        <v>51832657</v>
      </c>
      <c r="BB44" s="47"/>
      <c r="BC44" s="49"/>
      <c r="BD44" s="45"/>
      <c r="BE44" s="45"/>
      <c r="BF44" s="45"/>
      <c r="BG44" s="49"/>
      <c r="BH44" s="45"/>
      <c r="BI44" s="49"/>
      <c r="BJ44" s="47">
        <f>(Tabla13[[#This Row],[VALOR TOTAL CONTRATO + VF]]+Tabla13[[#This Row],[ADICION 1 ]]+Tabla13[[#This Row],[ADICION 2]]-Tabla13[[#This Row],[LIBERACION]])</f>
        <v>52500000</v>
      </c>
      <c r="BK44" s="45"/>
      <c r="BL44" s="49"/>
      <c r="BM44" s="49"/>
      <c r="BN44" s="45"/>
      <c r="BO44" s="45"/>
      <c r="BP44" s="49"/>
      <c r="BQ44" s="45"/>
      <c r="BR44" s="47"/>
      <c r="BS44" s="49"/>
      <c r="BT44" s="45">
        <f t="shared" si="1"/>
        <v>212</v>
      </c>
      <c r="BU44" s="49"/>
      <c r="BV44" s="52"/>
    </row>
    <row r="45" spans="1:74" ht="15" customHeight="1" x14ac:dyDescent="0.25">
      <c r="A45" s="42" t="s">
        <v>459</v>
      </c>
      <c r="B45" s="43" t="s">
        <v>460</v>
      </c>
      <c r="C45" s="44" t="s">
        <v>54</v>
      </c>
      <c r="D45" s="45">
        <v>200</v>
      </c>
      <c r="E45" s="45" t="s">
        <v>345</v>
      </c>
      <c r="F45" s="45" t="s">
        <v>323</v>
      </c>
      <c r="G45" s="45" t="s">
        <v>991</v>
      </c>
      <c r="H45" s="45" t="s">
        <v>57</v>
      </c>
      <c r="I45" s="46">
        <v>44950</v>
      </c>
      <c r="J45" s="45" t="s">
        <v>59</v>
      </c>
      <c r="K45" s="45" t="s">
        <v>290</v>
      </c>
      <c r="L45" s="45" t="s">
        <v>324</v>
      </c>
      <c r="M45" s="45" t="s">
        <v>325</v>
      </c>
      <c r="N45" s="45">
        <v>81111504</v>
      </c>
      <c r="O45" s="45" t="s">
        <v>326</v>
      </c>
      <c r="P45" s="47">
        <v>86250000</v>
      </c>
      <c r="Q45" s="47">
        <v>86250000</v>
      </c>
      <c r="R45" s="45">
        <v>12623</v>
      </c>
      <c r="S45" s="45" t="s">
        <v>294</v>
      </c>
      <c r="T45" s="45" t="s">
        <v>64</v>
      </c>
      <c r="U45" s="45" t="s">
        <v>65</v>
      </c>
      <c r="V45" s="45"/>
      <c r="W45" s="45" t="s">
        <v>446</v>
      </c>
      <c r="X45" s="45" t="s">
        <v>57</v>
      </c>
      <c r="Y45" s="46">
        <v>44952</v>
      </c>
      <c r="Z45" s="45" t="s">
        <v>67</v>
      </c>
      <c r="AA45" s="45"/>
      <c r="AB45" s="45" t="s">
        <v>295</v>
      </c>
      <c r="AC45" s="45" t="s">
        <v>69</v>
      </c>
      <c r="AD45" s="45" t="s">
        <v>327</v>
      </c>
      <c r="AE45" s="45">
        <v>80151371</v>
      </c>
      <c r="AF45" s="45"/>
      <c r="AG45" s="45"/>
      <c r="AH45" s="45"/>
      <c r="AI45" s="45"/>
      <c r="AJ45" s="45"/>
      <c r="AK45" s="45"/>
      <c r="AL45" s="50">
        <f ca="1">+YEAR(TODAY())-YEAR(Tabla13[[#This Row],[FECHA DE NACIMIENTO]])</f>
        <v>123</v>
      </c>
      <c r="AM45" s="45">
        <v>27323</v>
      </c>
      <c r="AN45" s="46">
        <v>44952</v>
      </c>
      <c r="AO45" s="51">
        <v>86250000</v>
      </c>
      <c r="AP45" s="45"/>
      <c r="AQ45" s="45"/>
      <c r="AR45" s="45"/>
      <c r="AS45" s="51">
        <v>86250000</v>
      </c>
      <c r="AT45" s="45" t="s">
        <v>297</v>
      </c>
      <c r="AU45" s="46">
        <v>44952</v>
      </c>
      <c r="AV45" s="52" t="s">
        <v>74</v>
      </c>
      <c r="AW45" s="46">
        <v>44952</v>
      </c>
      <c r="AX45" s="46">
        <v>45291</v>
      </c>
      <c r="AY45" s="44">
        <f t="shared" si="0"/>
        <v>339</v>
      </c>
      <c r="AZ45" s="45" t="s">
        <v>328</v>
      </c>
      <c r="BA45" s="45">
        <v>19498970</v>
      </c>
      <c r="BB45" s="47"/>
      <c r="BC45" s="49"/>
      <c r="BD45" s="45"/>
      <c r="BE45" s="45"/>
      <c r="BF45" s="45"/>
      <c r="BG45" s="49"/>
      <c r="BH45" s="45"/>
      <c r="BI45" s="49"/>
      <c r="BJ45" s="47">
        <f>(Tabla13[[#This Row],[VALOR TOTAL CONTRATO + VF]]+Tabla13[[#This Row],[ADICION 1 ]]+Tabla13[[#This Row],[ADICION 2]]-Tabla13[[#This Row],[LIBERACION]])</f>
        <v>86250000</v>
      </c>
      <c r="BK45" s="45"/>
      <c r="BL45" s="49"/>
      <c r="BM45" s="49"/>
      <c r="BN45" s="45"/>
      <c r="BO45" s="45"/>
      <c r="BP45" s="49"/>
      <c r="BQ45" s="45"/>
      <c r="BR45" s="47"/>
      <c r="BS45" s="49"/>
      <c r="BT45" s="45">
        <f t="shared" si="1"/>
        <v>339</v>
      </c>
      <c r="BU45" s="49"/>
      <c r="BV45" s="52"/>
    </row>
    <row r="46" spans="1:74" s="54" customFormat="1" ht="13.5" customHeight="1" x14ac:dyDescent="0.25">
      <c r="A46" s="42" t="s">
        <v>459</v>
      </c>
      <c r="B46" s="43" t="s">
        <v>460</v>
      </c>
      <c r="C46" s="44" t="s">
        <v>54</v>
      </c>
      <c r="D46" s="45">
        <v>4</v>
      </c>
      <c r="E46" s="45" t="s">
        <v>221</v>
      </c>
      <c r="F46" s="45" t="s">
        <v>143</v>
      </c>
      <c r="G46" s="45" t="s">
        <v>485</v>
      </c>
      <c r="H46" s="45" t="s">
        <v>57</v>
      </c>
      <c r="I46" s="46">
        <v>44951</v>
      </c>
      <c r="J46" s="45" t="s">
        <v>59</v>
      </c>
      <c r="K46" s="45" t="s">
        <v>60</v>
      </c>
      <c r="L46" s="45" t="s">
        <v>136</v>
      </c>
      <c r="M46" s="45" t="s">
        <v>144</v>
      </c>
      <c r="N46" s="45">
        <v>80161504</v>
      </c>
      <c r="O46" s="45" t="s">
        <v>138</v>
      </c>
      <c r="P46" s="47">
        <v>80000000</v>
      </c>
      <c r="Q46" s="47">
        <v>80000000</v>
      </c>
      <c r="R46" s="45">
        <v>14023</v>
      </c>
      <c r="S46" s="45" t="s">
        <v>63</v>
      </c>
      <c r="T46" s="45" t="s">
        <v>64</v>
      </c>
      <c r="U46" s="45" t="s">
        <v>65</v>
      </c>
      <c r="V46" s="45"/>
      <c r="W46" s="45" t="s">
        <v>145</v>
      </c>
      <c r="X46" s="45" t="s">
        <v>57</v>
      </c>
      <c r="Y46" s="46">
        <v>44952</v>
      </c>
      <c r="Z46" s="45" t="s">
        <v>67</v>
      </c>
      <c r="AA46" s="45"/>
      <c r="AB46" s="45" t="s">
        <v>68</v>
      </c>
      <c r="AC46" s="45" t="s">
        <v>69</v>
      </c>
      <c r="AD46" s="45" t="s">
        <v>146</v>
      </c>
      <c r="AE46" s="45">
        <v>79951390</v>
      </c>
      <c r="AF46" s="45" t="s">
        <v>141</v>
      </c>
      <c r="AG46" s="45" t="s">
        <v>603</v>
      </c>
      <c r="AH46" s="45" t="s">
        <v>551</v>
      </c>
      <c r="AI46" s="45" t="s">
        <v>467</v>
      </c>
      <c r="AJ46" s="48" t="s">
        <v>517</v>
      </c>
      <c r="AK46" s="49">
        <v>29014</v>
      </c>
      <c r="AL46" s="50">
        <f ca="1">+YEAR(TODAY())-YEAR(Tabla13[[#This Row],[FECHA DE NACIMIENTO]])</f>
        <v>44</v>
      </c>
      <c r="AM46" s="45">
        <v>27723</v>
      </c>
      <c r="AN46" s="46">
        <v>44952</v>
      </c>
      <c r="AO46" s="47">
        <v>80000000</v>
      </c>
      <c r="AP46" s="45"/>
      <c r="AQ46" s="45"/>
      <c r="AR46" s="45"/>
      <c r="AS46" s="51">
        <v>80000000</v>
      </c>
      <c r="AT46" s="45" t="s">
        <v>75</v>
      </c>
      <c r="AU46" s="46">
        <v>44953</v>
      </c>
      <c r="AV46" s="52" t="s">
        <v>74</v>
      </c>
      <c r="AW46" s="46">
        <v>44958</v>
      </c>
      <c r="AX46" s="46">
        <v>45200</v>
      </c>
      <c r="AY46" s="44">
        <f t="shared" si="0"/>
        <v>242</v>
      </c>
      <c r="AZ46" s="45" t="s">
        <v>147</v>
      </c>
      <c r="BA46" s="45">
        <v>52619262</v>
      </c>
      <c r="BB46" s="47"/>
      <c r="BC46" s="49"/>
      <c r="BD46" s="45"/>
      <c r="BE46" s="45"/>
      <c r="BF46" s="45"/>
      <c r="BG46" s="49"/>
      <c r="BH46" s="45"/>
      <c r="BI46" s="49"/>
      <c r="BJ46" s="47">
        <f>(Tabla13[[#This Row],[VALOR TOTAL CONTRATO + VF]]+Tabla13[[#This Row],[ADICION 1 ]]+Tabla13[[#This Row],[ADICION 2]]-Tabla13[[#This Row],[LIBERACION]])</f>
        <v>80000000</v>
      </c>
      <c r="BK46" s="45"/>
      <c r="BL46" s="49"/>
      <c r="BM46" s="49"/>
      <c r="BN46" s="45"/>
      <c r="BO46" s="45"/>
      <c r="BP46" s="49"/>
      <c r="BQ46" s="45"/>
      <c r="BR46" s="47"/>
      <c r="BS46" s="49"/>
      <c r="BT46" s="45">
        <f t="shared" si="1"/>
        <v>242</v>
      </c>
      <c r="BU46" s="49"/>
      <c r="BV46" s="52"/>
    </row>
    <row r="47" spans="1:74" ht="15" customHeight="1" x14ac:dyDescent="0.25">
      <c r="A47" s="42" t="s">
        <v>459</v>
      </c>
      <c r="B47" s="43" t="s">
        <v>460</v>
      </c>
      <c r="C47" s="44" t="s">
        <v>54</v>
      </c>
      <c r="D47" s="45">
        <v>8</v>
      </c>
      <c r="E47" s="45" t="s">
        <v>221</v>
      </c>
      <c r="F47" s="45" t="s">
        <v>157</v>
      </c>
      <c r="G47" s="45" t="s">
        <v>158</v>
      </c>
      <c r="H47" s="45" t="s">
        <v>57</v>
      </c>
      <c r="I47" s="46">
        <v>44951</v>
      </c>
      <c r="J47" s="45" t="s">
        <v>59</v>
      </c>
      <c r="K47" s="45" t="s">
        <v>60</v>
      </c>
      <c r="L47" s="45" t="s">
        <v>150</v>
      </c>
      <c r="M47" s="45" t="s">
        <v>159</v>
      </c>
      <c r="N47" s="45" t="s">
        <v>160</v>
      </c>
      <c r="O47" s="45" t="s">
        <v>161</v>
      </c>
      <c r="P47" s="47">
        <v>55000000</v>
      </c>
      <c r="Q47" s="47">
        <v>55000000</v>
      </c>
      <c r="R47" s="45">
        <v>13823</v>
      </c>
      <c r="S47" s="45" t="s">
        <v>153</v>
      </c>
      <c r="T47" s="45" t="s">
        <v>64</v>
      </c>
      <c r="U47" s="45" t="s">
        <v>65</v>
      </c>
      <c r="V47" s="45"/>
      <c r="W47" s="45" t="s">
        <v>162</v>
      </c>
      <c r="X47" s="45" t="s">
        <v>57</v>
      </c>
      <c r="Y47" s="46">
        <v>44956</v>
      </c>
      <c r="Z47" s="45" t="s">
        <v>67</v>
      </c>
      <c r="AA47" s="45"/>
      <c r="AB47" s="45" t="s">
        <v>68</v>
      </c>
      <c r="AC47" s="45" t="s">
        <v>69</v>
      </c>
      <c r="AD47" s="45" t="s">
        <v>163</v>
      </c>
      <c r="AE47" s="45">
        <v>1016072632</v>
      </c>
      <c r="AF47" s="45" t="s">
        <v>141</v>
      </c>
      <c r="AG47" s="45" t="s">
        <v>604</v>
      </c>
      <c r="AH47" s="45" t="s">
        <v>551</v>
      </c>
      <c r="AI47" s="45" t="s">
        <v>467</v>
      </c>
      <c r="AJ47" s="48" t="s">
        <v>517</v>
      </c>
      <c r="AK47" s="49">
        <v>34693</v>
      </c>
      <c r="AL47" s="50">
        <f ca="1">+YEAR(TODAY())-YEAR(Tabla13[[#This Row],[FECHA DE NACIMIENTO]])</f>
        <v>29</v>
      </c>
      <c r="AM47" s="45">
        <v>31123</v>
      </c>
      <c r="AN47" s="46">
        <v>44957</v>
      </c>
      <c r="AO47" s="47">
        <v>55000000</v>
      </c>
      <c r="AP47" s="45"/>
      <c r="AQ47" s="45"/>
      <c r="AR47" s="45"/>
      <c r="AS47" s="51">
        <v>55000000</v>
      </c>
      <c r="AT47" s="45" t="s">
        <v>75</v>
      </c>
      <c r="AU47" s="46">
        <v>44956</v>
      </c>
      <c r="AV47" s="52" t="s">
        <v>74</v>
      </c>
      <c r="AW47" s="46">
        <v>44958</v>
      </c>
      <c r="AX47" s="46">
        <v>45291</v>
      </c>
      <c r="AY47" s="44">
        <f t="shared" si="0"/>
        <v>333</v>
      </c>
      <c r="AZ47" s="45" t="s">
        <v>156</v>
      </c>
      <c r="BA47" s="45">
        <v>79276876</v>
      </c>
      <c r="BB47" s="47"/>
      <c r="BC47" s="49"/>
      <c r="BD47" s="45"/>
      <c r="BE47" s="45"/>
      <c r="BF47" s="45"/>
      <c r="BG47" s="49"/>
      <c r="BH47" s="45"/>
      <c r="BI47" s="49"/>
      <c r="BJ47" s="47">
        <f>(Tabla13[[#This Row],[VALOR TOTAL CONTRATO + VF]]+Tabla13[[#This Row],[ADICION 1 ]]+Tabla13[[#This Row],[ADICION 2]]-Tabla13[[#This Row],[LIBERACION]])</f>
        <v>55000000</v>
      </c>
      <c r="BK47" s="45"/>
      <c r="BL47" s="49"/>
      <c r="BM47" s="49"/>
      <c r="BN47" s="45"/>
      <c r="BO47" s="45"/>
      <c r="BP47" s="49"/>
      <c r="BQ47" s="45"/>
      <c r="BR47" s="47"/>
      <c r="BS47" s="49"/>
      <c r="BT47" s="45">
        <f t="shared" si="1"/>
        <v>333</v>
      </c>
      <c r="BU47" s="49"/>
      <c r="BV47" s="52"/>
    </row>
    <row r="48" spans="1:74" ht="15" customHeight="1" x14ac:dyDescent="0.25">
      <c r="A48" s="42" t="s">
        <v>459</v>
      </c>
      <c r="B48" s="43" t="s">
        <v>460</v>
      </c>
      <c r="C48" s="44" t="s">
        <v>54</v>
      </c>
      <c r="D48" s="48">
        <v>232</v>
      </c>
      <c r="E48" s="48" t="s">
        <v>345</v>
      </c>
      <c r="F48" s="48" t="s">
        <v>329</v>
      </c>
      <c r="G48" s="48" t="s">
        <v>992</v>
      </c>
      <c r="H48" s="48" t="s">
        <v>57</v>
      </c>
      <c r="I48" s="55">
        <v>44952</v>
      </c>
      <c r="J48" s="48" t="s">
        <v>59</v>
      </c>
      <c r="K48" s="48" t="s">
        <v>330</v>
      </c>
      <c r="L48" s="48" t="s">
        <v>313</v>
      </c>
      <c r="M48" s="48" t="s">
        <v>331</v>
      </c>
      <c r="N48" s="48">
        <v>73152100</v>
      </c>
      <c r="O48" s="48" t="s">
        <v>332</v>
      </c>
      <c r="P48" s="56">
        <v>16275000</v>
      </c>
      <c r="Q48" s="56">
        <v>16275000</v>
      </c>
      <c r="R48" s="48">
        <v>13023</v>
      </c>
      <c r="S48" s="48" t="s">
        <v>89</v>
      </c>
      <c r="T48" s="48" t="s">
        <v>133</v>
      </c>
      <c r="U48" s="48" t="s">
        <v>132</v>
      </c>
      <c r="V48" s="57">
        <v>342</v>
      </c>
      <c r="W48" s="48"/>
      <c r="X48" s="48"/>
      <c r="Y48" s="55"/>
      <c r="Z48" s="48"/>
      <c r="AA48" s="48"/>
      <c r="AB48" s="48"/>
      <c r="AC48" s="48"/>
      <c r="AD48" s="48"/>
      <c r="AE48" s="48"/>
      <c r="AF48" s="48"/>
      <c r="AG48" s="48"/>
      <c r="AH48" s="48"/>
      <c r="AI48" s="48"/>
      <c r="AJ48" s="45"/>
      <c r="AK48" s="48"/>
      <c r="AL48" s="58">
        <f ca="1">+YEAR(TODAY())-YEAR(Tabla13[[#This Row],[FECHA DE NACIMIENTO]])</f>
        <v>123</v>
      </c>
      <c r="AM48" s="48"/>
      <c r="AN48" s="55"/>
      <c r="AO48" s="56"/>
      <c r="AP48" s="48"/>
      <c r="AQ48" s="48"/>
      <c r="AR48" s="48"/>
      <c r="AS48" s="59"/>
      <c r="AT48" s="48"/>
      <c r="AU48" s="55"/>
      <c r="AV48" s="60"/>
      <c r="AW48" s="55"/>
      <c r="AX48" s="55"/>
      <c r="AY48" s="43">
        <f t="shared" si="0"/>
        <v>0</v>
      </c>
      <c r="AZ48" s="48"/>
      <c r="BA48" s="48"/>
      <c r="BB48" s="56"/>
      <c r="BC48" s="61"/>
      <c r="BD48" s="48"/>
      <c r="BE48" s="48"/>
      <c r="BF48" s="48"/>
      <c r="BG48" s="61"/>
      <c r="BH48" s="48"/>
      <c r="BI48" s="61"/>
      <c r="BJ48" s="56">
        <f>(Tabla13[[#This Row],[VALOR TOTAL CONTRATO + VF]]+Tabla13[[#This Row],[ADICION 1 ]]+Tabla13[[#This Row],[ADICION 2]]-Tabla13[[#This Row],[LIBERACION]])</f>
        <v>0</v>
      </c>
      <c r="BK48" s="48"/>
      <c r="BL48" s="61"/>
      <c r="BM48" s="61"/>
      <c r="BN48" s="48"/>
      <c r="BO48" s="48"/>
      <c r="BP48" s="61"/>
      <c r="BQ48" s="48"/>
      <c r="BR48" s="56"/>
      <c r="BS48" s="61"/>
      <c r="BT48" s="45"/>
      <c r="BU48" s="61"/>
      <c r="BV48" s="60"/>
    </row>
    <row r="49" spans="1:74" ht="15" customHeight="1" x14ac:dyDescent="0.25">
      <c r="A49" s="42" t="s">
        <v>459</v>
      </c>
      <c r="B49" s="43" t="s">
        <v>460</v>
      </c>
      <c r="C49" s="44" t="s">
        <v>54</v>
      </c>
      <c r="D49" s="45">
        <v>11</v>
      </c>
      <c r="E49" s="45" t="s">
        <v>409</v>
      </c>
      <c r="F49" s="45" t="s">
        <v>382</v>
      </c>
      <c r="G49" s="45" t="s">
        <v>383</v>
      </c>
      <c r="H49" s="45" t="s">
        <v>57</v>
      </c>
      <c r="I49" s="46">
        <v>44953</v>
      </c>
      <c r="J49" s="45" t="s">
        <v>59</v>
      </c>
      <c r="K49" s="45" t="s">
        <v>60</v>
      </c>
      <c r="L49" s="45" t="s">
        <v>150</v>
      </c>
      <c r="M49" s="45" t="s">
        <v>384</v>
      </c>
      <c r="N49" s="45" t="s">
        <v>385</v>
      </c>
      <c r="O49" s="45" t="s">
        <v>734</v>
      </c>
      <c r="P49" s="47">
        <v>55000000</v>
      </c>
      <c r="Q49" s="47">
        <v>55000000</v>
      </c>
      <c r="R49" s="45">
        <v>15723</v>
      </c>
      <c r="S49" s="45" t="s">
        <v>349</v>
      </c>
      <c r="T49" s="45" t="s">
        <v>64</v>
      </c>
      <c r="U49" s="45" t="s">
        <v>65</v>
      </c>
      <c r="V49" s="45"/>
      <c r="W49" s="45" t="s">
        <v>386</v>
      </c>
      <c r="X49" s="45" t="s">
        <v>57</v>
      </c>
      <c r="Y49" s="46">
        <v>44957</v>
      </c>
      <c r="Z49" s="45" t="s">
        <v>67</v>
      </c>
      <c r="AA49" s="45"/>
      <c r="AB49" s="45" t="s">
        <v>68</v>
      </c>
      <c r="AC49" s="45" t="s">
        <v>69</v>
      </c>
      <c r="AD49" s="45" t="s">
        <v>387</v>
      </c>
      <c r="AE49" s="45">
        <v>1082992710</v>
      </c>
      <c r="AF49" s="45"/>
      <c r="AG49" s="45" t="s">
        <v>626</v>
      </c>
      <c r="AH49" s="45" t="s">
        <v>551</v>
      </c>
      <c r="AI49" s="45"/>
      <c r="AJ49" s="45"/>
      <c r="AK49" s="45">
        <v>34658</v>
      </c>
      <c r="AL49" s="50" t="e">
        <f ca="1">+YEAR(TODAY())-YEAR([1]!Tabla1[[#This Row],[FECHA DE NACIMIENTO]])</f>
        <v>#REF!</v>
      </c>
      <c r="AM49" s="45">
        <v>30923</v>
      </c>
      <c r="AN49" s="46">
        <v>44957</v>
      </c>
      <c r="AO49" s="47">
        <v>55000000</v>
      </c>
      <c r="AP49" s="45"/>
      <c r="AQ49" s="45"/>
      <c r="AR49" s="45"/>
      <c r="AS49" s="51">
        <f>SUM(AO49+AP49+AQ49+AR49)</f>
        <v>55000000</v>
      </c>
      <c r="AT49" s="45" t="s">
        <v>75</v>
      </c>
      <c r="AU49" s="46">
        <v>44945</v>
      </c>
      <c r="AV49" s="52" t="s">
        <v>74</v>
      </c>
      <c r="AW49" s="46">
        <v>44956</v>
      </c>
      <c r="AX49" s="46">
        <v>45291</v>
      </c>
      <c r="AY49" s="44">
        <f t="shared" si="0"/>
        <v>335</v>
      </c>
      <c r="AZ49" s="45" t="s">
        <v>439</v>
      </c>
      <c r="BA49" s="45">
        <v>80791769</v>
      </c>
      <c r="BB49" s="47"/>
      <c r="BC49" s="49"/>
      <c r="BD49" s="45"/>
      <c r="BE49" s="45"/>
      <c r="BF49" s="45"/>
      <c r="BG49" s="49"/>
      <c r="BH49" s="45"/>
      <c r="BI49" s="49"/>
      <c r="BJ49" s="47" t="e">
        <f>([1]!Tabla1[[#This Row],[VALOR TOTAL CONTRATO + VF]]+[1]!Tabla1[[#This Row],[ADICION 1 ]]+[1]!Tabla1[[#This Row],[ADICION 2]]-[1]!Tabla1[[#This Row],[LIBERACION]])</f>
        <v>#REF!</v>
      </c>
      <c r="BK49" s="45"/>
      <c r="BL49" s="49"/>
      <c r="BM49" s="49"/>
      <c r="BN49" s="45"/>
      <c r="BO49" s="45"/>
      <c r="BP49" s="49"/>
      <c r="BQ49" s="45"/>
      <c r="BR49" s="47"/>
      <c r="BS49" s="49"/>
      <c r="BT49" s="45">
        <f>SUM(AY49+BK49+BN49+BQ49)</f>
        <v>335</v>
      </c>
      <c r="BU49" s="49"/>
      <c r="BV49" s="52"/>
    </row>
    <row r="50" spans="1:74" ht="15" customHeight="1" x14ac:dyDescent="0.25">
      <c r="A50" s="42" t="s">
        <v>459</v>
      </c>
      <c r="B50" s="43" t="s">
        <v>460</v>
      </c>
      <c r="C50" s="44" t="s">
        <v>54</v>
      </c>
      <c r="D50" s="45">
        <v>3</v>
      </c>
      <c r="E50" s="45" t="s">
        <v>409</v>
      </c>
      <c r="F50" s="45" t="s">
        <v>395</v>
      </c>
      <c r="G50" s="45" t="s">
        <v>396</v>
      </c>
      <c r="H50" s="45" t="s">
        <v>57</v>
      </c>
      <c r="I50" s="46">
        <v>44953</v>
      </c>
      <c r="J50" s="45" t="s">
        <v>59</v>
      </c>
      <c r="K50" s="45" t="s">
        <v>60</v>
      </c>
      <c r="L50" s="45" t="s">
        <v>136</v>
      </c>
      <c r="M50" s="45" t="s">
        <v>397</v>
      </c>
      <c r="N50" s="45">
        <v>80111600</v>
      </c>
      <c r="O50" s="45" t="s">
        <v>138</v>
      </c>
      <c r="P50" s="47">
        <v>46000000</v>
      </c>
      <c r="Q50" s="47">
        <v>44000000</v>
      </c>
      <c r="R50" s="45">
        <v>18823</v>
      </c>
      <c r="S50" s="45" t="s">
        <v>63</v>
      </c>
      <c r="T50" s="45" t="s">
        <v>64</v>
      </c>
      <c r="U50" s="45" t="s">
        <v>65</v>
      </c>
      <c r="V50" s="45"/>
      <c r="W50" s="45" t="s">
        <v>751</v>
      </c>
      <c r="X50" s="45" t="s">
        <v>57</v>
      </c>
      <c r="Y50" s="46">
        <v>44957</v>
      </c>
      <c r="Z50" s="45" t="s">
        <v>67</v>
      </c>
      <c r="AA50" s="45"/>
      <c r="AB50" s="45" t="s">
        <v>68</v>
      </c>
      <c r="AC50" s="45" t="s">
        <v>69</v>
      </c>
      <c r="AD50" s="45" t="s">
        <v>752</v>
      </c>
      <c r="AE50" s="45">
        <v>1026593280</v>
      </c>
      <c r="AF50" s="45"/>
      <c r="AG50" s="45" t="s">
        <v>753</v>
      </c>
      <c r="AH50" s="45" t="s">
        <v>551</v>
      </c>
      <c r="AI50" s="45"/>
      <c r="AJ50" s="45"/>
      <c r="AK50" s="45">
        <v>35801</v>
      </c>
      <c r="AL50" s="50" t="e">
        <f ca="1">+YEAR(TODAY())-YEAR([1]!Tabla1[[#This Row],[FECHA DE NACIMIENTO]])</f>
        <v>#REF!</v>
      </c>
      <c r="AM50" s="45">
        <v>30823</v>
      </c>
      <c r="AN50" s="46">
        <v>44957</v>
      </c>
      <c r="AO50" s="47">
        <v>44000000</v>
      </c>
      <c r="AP50" s="45"/>
      <c r="AQ50" s="45"/>
      <c r="AR50" s="45"/>
      <c r="AS50" s="51">
        <f>SUM(AO50+AP50+AQ50+AR50)</f>
        <v>44000000</v>
      </c>
      <c r="AT50" s="45" t="s">
        <v>75</v>
      </c>
      <c r="AU50" s="46">
        <v>44956</v>
      </c>
      <c r="AV50" s="52" t="s">
        <v>74</v>
      </c>
      <c r="AW50" s="46">
        <v>44958</v>
      </c>
      <c r="AX50" s="46">
        <v>45291</v>
      </c>
      <c r="AY50" s="44">
        <f t="shared" si="0"/>
        <v>333</v>
      </c>
      <c r="AZ50" s="45" t="s">
        <v>754</v>
      </c>
      <c r="BA50" s="45">
        <v>1144031972</v>
      </c>
      <c r="BB50" s="47"/>
      <c r="BC50" s="49"/>
      <c r="BD50" s="45"/>
      <c r="BE50" s="45"/>
      <c r="BF50" s="45"/>
      <c r="BG50" s="49"/>
      <c r="BH50" s="45"/>
      <c r="BI50" s="49"/>
      <c r="BJ50" s="47" t="e">
        <f>([1]!Tabla1[[#This Row],[VALOR TOTAL CONTRATO + VF]]+[1]!Tabla1[[#This Row],[ADICION 1 ]]+[1]!Tabla1[[#This Row],[ADICION 2]]-[1]!Tabla1[[#This Row],[LIBERACION]])</f>
        <v>#REF!</v>
      </c>
      <c r="BK50" s="45"/>
      <c r="BL50" s="49"/>
      <c r="BM50" s="49"/>
      <c r="BN50" s="45"/>
      <c r="BO50" s="45"/>
      <c r="BP50" s="49"/>
      <c r="BQ50" s="45"/>
      <c r="BR50" s="47"/>
      <c r="BS50" s="49"/>
      <c r="BT50" s="45">
        <f>SUM(AY50+BK50+BN50+BQ50)</f>
        <v>333</v>
      </c>
      <c r="BU50" s="49"/>
      <c r="BV50" s="52"/>
    </row>
    <row r="51" spans="1:74" ht="15" customHeight="1" x14ac:dyDescent="0.25">
      <c r="A51" s="42" t="s">
        <v>459</v>
      </c>
      <c r="B51" s="43" t="s">
        <v>460</v>
      </c>
      <c r="C51" s="44" t="s">
        <v>54</v>
      </c>
      <c r="D51" s="45">
        <v>24</v>
      </c>
      <c r="E51" s="45" t="s">
        <v>344</v>
      </c>
      <c r="F51" s="45" t="s">
        <v>265</v>
      </c>
      <c r="G51" s="45" t="s">
        <v>286</v>
      </c>
      <c r="H51" s="45" t="s">
        <v>57</v>
      </c>
      <c r="I51" s="46">
        <v>44953</v>
      </c>
      <c r="J51" s="45" t="s">
        <v>223</v>
      </c>
      <c r="K51" s="45" t="s">
        <v>483</v>
      </c>
      <c r="L51" s="45" t="s">
        <v>244</v>
      </c>
      <c r="M51" s="45" t="s">
        <v>266</v>
      </c>
      <c r="N51" s="45" t="s">
        <v>246</v>
      </c>
      <c r="O51" s="45" t="s">
        <v>247</v>
      </c>
      <c r="P51" s="47">
        <v>30800000</v>
      </c>
      <c r="Q51" s="47">
        <v>30800000</v>
      </c>
      <c r="R51" s="45">
        <v>15523</v>
      </c>
      <c r="S51" s="45" t="s">
        <v>63</v>
      </c>
      <c r="T51" s="45" t="s">
        <v>64</v>
      </c>
      <c r="U51" s="45" t="s">
        <v>65</v>
      </c>
      <c r="V51" s="45"/>
      <c r="W51" s="45" t="s">
        <v>267</v>
      </c>
      <c r="X51" s="45" t="s">
        <v>57</v>
      </c>
      <c r="Y51" s="46">
        <v>44957</v>
      </c>
      <c r="Z51" s="45" t="s">
        <v>117</v>
      </c>
      <c r="AA51" s="45"/>
      <c r="AB51" s="45" t="s">
        <v>68</v>
      </c>
      <c r="AC51" s="45" t="s">
        <v>69</v>
      </c>
      <c r="AD51" s="45" t="s">
        <v>268</v>
      </c>
      <c r="AE51" s="45">
        <v>51977370</v>
      </c>
      <c r="AF51" s="45"/>
      <c r="AG51" s="45"/>
      <c r="AH51" s="45"/>
      <c r="AI51" s="45"/>
      <c r="AJ51" s="45"/>
      <c r="AK51" s="45"/>
      <c r="AL51" s="50">
        <f ca="1">+YEAR(TODAY())-YEAR(Tabla13[[#This Row],[FECHA DE NACIMIENTO]])</f>
        <v>123</v>
      </c>
      <c r="AM51" s="45">
        <v>30523</v>
      </c>
      <c r="AN51" s="46">
        <v>44956</v>
      </c>
      <c r="AO51" s="47">
        <v>30800000</v>
      </c>
      <c r="AP51" s="45"/>
      <c r="AQ51" s="45"/>
      <c r="AR51" s="45"/>
      <c r="AS51" s="51">
        <v>30800000</v>
      </c>
      <c r="AT51" s="45" t="s">
        <v>230</v>
      </c>
      <c r="AU51" s="46">
        <v>44956</v>
      </c>
      <c r="AV51" s="52" t="s">
        <v>74</v>
      </c>
      <c r="AW51" s="46">
        <v>44957</v>
      </c>
      <c r="AX51" s="46">
        <v>45291</v>
      </c>
      <c r="AY51" s="44">
        <f t="shared" si="0"/>
        <v>334</v>
      </c>
      <c r="AZ51" s="45" t="s">
        <v>172</v>
      </c>
      <c r="BA51" s="45">
        <v>79279880</v>
      </c>
      <c r="BB51" s="47"/>
      <c r="BC51" s="49"/>
      <c r="BD51" s="45"/>
      <c r="BE51" s="45"/>
      <c r="BF51" s="45"/>
      <c r="BG51" s="49"/>
      <c r="BH51" s="45"/>
      <c r="BI51" s="49"/>
      <c r="BJ51" s="47">
        <f>(Tabla13[[#This Row],[VALOR TOTAL CONTRATO + VF]]+Tabla13[[#This Row],[ADICION 1 ]]+Tabla13[[#This Row],[ADICION 2]]-Tabla13[[#This Row],[LIBERACION]])</f>
        <v>30800000</v>
      </c>
      <c r="BK51" s="45"/>
      <c r="BL51" s="49"/>
      <c r="BM51" s="49"/>
      <c r="BN51" s="45"/>
      <c r="BO51" s="45"/>
      <c r="BP51" s="49"/>
      <c r="BQ51" s="45"/>
      <c r="BR51" s="47"/>
      <c r="BS51" s="49"/>
      <c r="BT51" s="45">
        <f>SUM(AY51+BK51+BN51+BQ51)</f>
        <v>334</v>
      </c>
      <c r="BU51" s="49"/>
      <c r="BV51" s="52"/>
    </row>
    <row r="52" spans="1:74" ht="15" customHeight="1" x14ac:dyDescent="0.25">
      <c r="A52" s="42" t="s">
        <v>459</v>
      </c>
      <c r="B52" s="43" t="s">
        <v>460</v>
      </c>
      <c r="C52" s="44" t="s">
        <v>54</v>
      </c>
      <c r="D52" s="45">
        <v>237</v>
      </c>
      <c r="E52" s="45" t="s">
        <v>345</v>
      </c>
      <c r="F52" s="45" t="s">
        <v>333</v>
      </c>
      <c r="G52" s="45" t="s">
        <v>993</v>
      </c>
      <c r="H52" s="45" t="s">
        <v>57</v>
      </c>
      <c r="I52" s="46">
        <v>44953</v>
      </c>
      <c r="J52" s="45" t="s">
        <v>59</v>
      </c>
      <c r="K52" s="45" t="s">
        <v>290</v>
      </c>
      <c r="L52" s="45" t="s">
        <v>334</v>
      </c>
      <c r="M52" s="45" t="s">
        <v>335</v>
      </c>
      <c r="N52" s="45">
        <v>80111600</v>
      </c>
      <c r="O52" s="45" t="s">
        <v>336</v>
      </c>
      <c r="P52" s="47">
        <v>77000000</v>
      </c>
      <c r="Q52" s="47">
        <v>77000000</v>
      </c>
      <c r="R52" s="45">
        <v>18923</v>
      </c>
      <c r="S52" s="45" t="s">
        <v>63</v>
      </c>
      <c r="T52" s="45" t="s">
        <v>64</v>
      </c>
      <c r="U52" s="45" t="s">
        <v>65</v>
      </c>
      <c r="V52" s="45"/>
      <c r="W52" s="45" t="s">
        <v>447</v>
      </c>
      <c r="X52" s="45" t="s">
        <v>57</v>
      </c>
      <c r="Y52" s="46">
        <v>44956</v>
      </c>
      <c r="Z52" s="45" t="s">
        <v>67</v>
      </c>
      <c r="AA52" s="45"/>
      <c r="AB52" s="45" t="s">
        <v>295</v>
      </c>
      <c r="AC52" s="45" t="s">
        <v>69</v>
      </c>
      <c r="AD52" s="45" t="s">
        <v>337</v>
      </c>
      <c r="AE52" s="45">
        <v>1121918009</v>
      </c>
      <c r="AF52" s="45"/>
      <c r="AG52" s="45"/>
      <c r="AH52" s="45"/>
      <c r="AI52" s="45"/>
      <c r="AJ52" s="45"/>
      <c r="AK52" s="45"/>
      <c r="AL52" s="50">
        <f ca="1">+YEAR(TODAY())-YEAR(Tabla13[[#This Row],[FECHA DE NACIMIENTO]])</f>
        <v>123</v>
      </c>
      <c r="AM52" s="45">
        <v>30023</v>
      </c>
      <c r="AN52" s="46">
        <v>44956</v>
      </c>
      <c r="AO52" s="51">
        <v>77000000</v>
      </c>
      <c r="AP52" s="45"/>
      <c r="AQ52" s="45"/>
      <c r="AR52" s="45"/>
      <c r="AS52" s="51">
        <v>77000000</v>
      </c>
      <c r="AT52" s="45" t="s">
        <v>297</v>
      </c>
      <c r="AU52" s="46">
        <v>44956</v>
      </c>
      <c r="AV52" s="52" t="s">
        <v>74</v>
      </c>
      <c r="AW52" s="46">
        <v>44958</v>
      </c>
      <c r="AX52" s="46">
        <v>45291</v>
      </c>
      <c r="AY52" s="44">
        <f t="shared" si="0"/>
        <v>333</v>
      </c>
      <c r="AZ52" s="45" t="s">
        <v>338</v>
      </c>
      <c r="BA52" s="45">
        <v>1010181437</v>
      </c>
      <c r="BB52" s="47"/>
      <c r="BC52" s="49"/>
      <c r="BD52" s="45"/>
      <c r="BE52" s="45"/>
      <c r="BF52" s="45"/>
      <c r="BG52" s="49"/>
      <c r="BH52" s="45"/>
      <c r="BI52" s="49"/>
      <c r="BJ52" s="47">
        <f>(Tabla13[[#This Row],[VALOR TOTAL CONTRATO + VF]]+Tabla13[[#This Row],[ADICION 1 ]]+Tabla13[[#This Row],[ADICION 2]]-Tabla13[[#This Row],[LIBERACION]])</f>
        <v>77000000</v>
      </c>
      <c r="BK52" s="45"/>
      <c r="BL52" s="49"/>
      <c r="BM52" s="49"/>
      <c r="BN52" s="45"/>
      <c r="BO52" s="45"/>
      <c r="BP52" s="49"/>
      <c r="BQ52" s="45"/>
      <c r="BR52" s="47"/>
      <c r="BS52" s="49"/>
      <c r="BT52" s="45">
        <f>SUM(AY52+BK52+BN52+BQ52)</f>
        <v>333</v>
      </c>
      <c r="BU52" s="49"/>
      <c r="BV52" s="52"/>
    </row>
    <row r="53" spans="1:74" ht="15" customHeight="1" x14ac:dyDescent="0.25">
      <c r="A53" s="42" t="s">
        <v>459</v>
      </c>
      <c r="B53" s="43" t="s">
        <v>460</v>
      </c>
      <c r="C53" s="44" t="s">
        <v>54</v>
      </c>
      <c r="D53" s="45">
        <v>25</v>
      </c>
      <c r="E53" s="45" t="s">
        <v>409</v>
      </c>
      <c r="F53" s="45" t="s">
        <v>403</v>
      </c>
      <c r="G53" s="45" t="s">
        <v>404</v>
      </c>
      <c r="H53" s="45" t="s">
        <v>57</v>
      </c>
      <c r="I53" s="46">
        <v>44956</v>
      </c>
      <c r="J53" s="45" t="s">
        <v>59</v>
      </c>
      <c r="K53" s="45" t="s">
        <v>60</v>
      </c>
      <c r="L53" s="45" t="s">
        <v>371</v>
      </c>
      <c r="M53" s="45" t="s">
        <v>405</v>
      </c>
      <c r="N53" s="45" t="s">
        <v>406</v>
      </c>
      <c r="O53" s="45" t="s">
        <v>758</v>
      </c>
      <c r="P53" s="47">
        <v>6000000</v>
      </c>
      <c r="Q53" s="47">
        <v>6000000</v>
      </c>
      <c r="R53" s="45">
        <v>15623</v>
      </c>
      <c r="S53" s="45" t="s">
        <v>63</v>
      </c>
      <c r="T53" s="45" t="s">
        <v>64</v>
      </c>
      <c r="U53" s="45" t="s">
        <v>65</v>
      </c>
      <c r="V53" s="45"/>
      <c r="W53" s="45" t="s">
        <v>759</v>
      </c>
      <c r="X53" s="45" t="s">
        <v>744</v>
      </c>
      <c r="Y53" s="46">
        <v>44981</v>
      </c>
      <c r="Z53" s="45" t="s">
        <v>615</v>
      </c>
      <c r="AA53" s="45"/>
      <c r="AB53" s="45" t="s">
        <v>68</v>
      </c>
      <c r="AC53" s="45" t="s">
        <v>69</v>
      </c>
      <c r="AD53" s="45" t="s">
        <v>760</v>
      </c>
      <c r="AE53" s="45" t="s">
        <v>761</v>
      </c>
      <c r="AF53" s="45">
        <v>1</v>
      </c>
      <c r="AG53" s="45" t="s">
        <v>517</v>
      </c>
      <c r="AH53" s="45" t="s">
        <v>551</v>
      </c>
      <c r="AI53" s="45"/>
      <c r="AJ53" s="45"/>
      <c r="AK53" s="45"/>
      <c r="AL53" s="50" t="e">
        <f ca="1">+YEAR(TODAY())-YEAR([1]!Tabla1[[#This Row],[FECHA DE NACIMIENTO]])</f>
        <v>#REF!</v>
      </c>
      <c r="AM53" s="45">
        <v>42623</v>
      </c>
      <c r="AN53" s="46">
        <v>44981</v>
      </c>
      <c r="AO53" s="47">
        <v>6000000</v>
      </c>
      <c r="AP53" s="45"/>
      <c r="AQ53" s="45"/>
      <c r="AR53" s="45"/>
      <c r="AS53" s="51">
        <f>SUM(AO53+AP53+AQ53+AR53)</f>
        <v>6000000</v>
      </c>
      <c r="AT53" s="45" t="s">
        <v>551</v>
      </c>
      <c r="AU53" s="46" t="s">
        <v>517</v>
      </c>
      <c r="AV53" s="52" t="s">
        <v>517</v>
      </c>
      <c r="AW53" s="46">
        <v>44981</v>
      </c>
      <c r="AX53" s="46">
        <v>45291</v>
      </c>
      <c r="AY53" s="44">
        <f t="shared" si="0"/>
        <v>310</v>
      </c>
      <c r="AZ53" s="45" t="s">
        <v>172</v>
      </c>
      <c r="BA53" s="45">
        <v>79279880</v>
      </c>
      <c r="BB53" s="47"/>
      <c r="BC53" s="49"/>
      <c r="BD53" s="45"/>
      <c r="BE53" s="45"/>
      <c r="BF53" s="45"/>
      <c r="BG53" s="49"/>
      <c r="BH53" s="45"/>
      <c r="BI53" s="49"/>
      <c r="BJ53" s="47" t="e">
        <f>([1]!Tabla1[[#This Row],[VALOR TOTAL CONTRATO + VF]]+[1]!Tabla1[[#This Row],[ADICION 1 ]]+[1]!Tabla1[[#This Row],[ADICION 2]]-[1]!Tabla1[[#This Row],[LIBERACION]])</f>
        <v>#REF!</v>
      </c>
      <c r="BK53" s="45"/>
      <c r="BL53" s="49"/>
      <c r="BM53" s="49"/>
      <c r="BN53" s="45"/>
      <c r="BO53" s="45"/>
      <c r="BP53" s="49"/>
      <c r="BQ53" s="45"/>
      <c r="BR53" s="47"/>
      <c r="BS53" s="49"/>
      <c r="BT53" s="45">
        <f>SUM(AY53+BK53+BN53+BQ53)</f>
        <v>310</v>
      </c>
      <c r="BU53" s="49"/>
      <c r="BV53" s="52"/>
    </row>
    <row r="54" spans="1:74" ht="15" customHeight="1" x14ac:dyDescent="0.25">
      <c r="A54" s="42" t="s">
        <v>459</v>
      </c>
      <c r="B54" s="43" t="s">
        <v>460</v>
      </c>
      <c r="C54" s="44" t="s">
        <v>54</v>
      </c>
      <c r="D54" s="48">
        <v>155</v>
      </c>
      <c r="E54" s="48" t="s">
        <v>345</v>
      </c>
      <c r="F54" s="48" t="s">
        <v>339</v>
      </c>
      <c r="G54" s="48" t="s">
        <v>994</v>
      </c>
      <c r="H54" s="48" t="s">
        <v>57</v>
      </c>
      <c r="I54" s="55">
        <v>44956</v>
      </c>
      <c r="J54" s="48" t="s">
        <v>59</v>
      </c>
      <c r="K54" s="48" t="s">
        <v>128</v>
      </c>
      <c r="L54" s="48" t="s">
        <v>340</v>
      </c>
      <c r="M54" s="48" t="s">
        <v>341</v>
      </c>
      <c r="N54" s="48">
        <v>80131502</v>
      </c>
      <c r="O54" s="48" t="s">
        <v>342</v>
      </c>
      <c r="P54" s="56">
        <v>16400000</v>
      </c>
      <c r="Q54" s="56">
        <v>16170000</v>
      </c>
      <c r="R54" s="48">
        <v>19323</v>
      </c>
      <c r="S54" s="48" t="s">
        <v>343</v>
      </c>
      <c r="T54" s="48" t="s">
        <v>133</v>
      </c>
      <c r="U54" s="48" t="s">
        <v>132</v>
      </c>
      <c r="V54" s="48">
        <v>226</v>
      </c>
      <c r="W54" s="48"/>
      <c r="X54" s="48"/>
      <c r="Y54" s="55"/>
      <c r="Z54" s="48"/>
      <c r="AA54" s="48"/>
      <c r="AB54" s="48"/>
      <c r="AC54" s="48"/>
      <c r="AD54" s="48"/>
      <c r="AE54" s="48"/>
      <c r="AF54" s="48"/>
      <c r="AG54" s="48"/>
      <c r="AH54" s="48"/>
      <c r="AI54" s="48"/>
      <c r="AJ54" s="48"/>
      <c r="AK54" s="48"/>
      <c r="AL54" s="58">
        <f ca="1">+YEAR(TODAY())-YEAR(Tabla13[[#This Row],[FECHA DE NACIMIENTO]])</f>
        <v>123</v>
      </c>
      <c r="AM54" s="48"/>
      <c r="AN54" s="55"/>
      <c r="AO54" s="56"/>
      <c r="AP54" s="48"/>
      <c r="AQ54" s="48"/>
      <c r="AR54" s="48"/>
      <c r="AS54" s="59"/>
      <c r="AT54" s="48"/>
      <c r="AU54" s="55"/>
      <c r="AV54" s="60"/>
      <c r="AW54" s="55"/>
      <c r="AX54" s="55"/>
      <c r="AY54" s="43">
        <f t="shared" si="0"/>
        <v>0</v>
      </c>
      <c r="AZ54" s="48"/>
      <c r="BA54" s="48"/>
      <c r="BB54" s="56"/>
      <c r="BC54" s="61"/>
      <c r="BD54" s="48"/>
      <c r="BE54" s="48"/>
      <c r="BF54" s="48"/>
      <c r="BG54" s="61"/>
      <c r="BH54" s="48"/>
      <c r="BI54" s="61"/>
      <c r="BJ54" s="56">
        <f>(Tabla13[[#This Row],[VALOR TOTAL CONTRATO + VF]]+Tabla13[[#This Row],[ADICION 1 ]]+Tabla13[[#This Row],[ADICION 2]]-Tabla13[[#This Row],[LIBERACION]])</f>
        <v>0</v>
      </c>
      <c r="BK54" s="48"/>
      <c r="BL54" s="61"/>
      <c r="BM54" s="61"/>
      <c r="BN54" s="48"/>
      <c r="BO54" s="48"/>
      <c r="BP54" s="61"/>
      <c r="BQ54" s="48"/>
      <c r="BR54" s="56"/>
      <c r="BS54" s="61"/>
      <c r="BT54" s="45"/>
      <c r="BU54" s="61"/>
      <c r="BV54" s="60"/>
    </row>
    <row r="55" spans="1:74" ht="15" customHeight="1" x14ac:dyDescent="0.25">
      <c r="A55" s="62" t="s">
        <v>459</v>
      </c>
      <c r="B55" s="63" t="s">
        <v>460</v>
      </c>
      <c r="C55" s="64" t="s">
        <v>54</v>
      </c>
      <c r="D55" s="65">
        <v>239</v>
      </c>
      <c r="E55" s="65" t="s">
        <v>55</v>
      </c>
      <c r="F55" s="65" t="s">
        <v>120</v>
      </c>
      <c r="G55" s="65" t="s">
        <v>121</v>
      </c>
      <c r="H55" s="65" t="s">
        <v>57</v>
      </c>
      <c r="I55" s="66">
        <v>44957</v>
      </c>
      <c r="J55" s="65" t="s">
        <v>59</v>
      </c>
      <c r="K55" s="65" t="s">
        <v>60</v>
      </c>
      <c r="L55" s="65" t="s">
        <v>99</v>
      </c>
      <c r="M55" s="65" t="s">
        <v>122</v>
      </c>
      <c r="N55" s="65">
        <v>80111600</v>
      </c>
      <c r="O55" s="65" t="s">
        <v>62</v>
      </c>
      <c r="P55" s="67">
        <v>90000000</v>
      </c>
      <c r="Q55" s="67">
        <v>90000000</v>
      </c>
      <c r="R55" s="65">
        <v>15223</v>
      </c>
      <c r="S55" s="65" t="s">
        <v>63</v>
      </c>
      <c r="T55" s="65" t="s">
        <v>64</v>
      </c>
      <c r="U55" s="65" t="s">
        <v>65</v>
      </c>
      <c r="V55" s="65"/>
      <c r="W55" s="65" t="s">
        <v>123</v>
      </c>
      <c r="X55" s="65" t="s">
        <v>127</v>
      </c>
      <c r="Y55" s="66">
        <v>44958</v>
      </c>
      <c r="Z55" s="65" t="s">
        <v>67</v>
      </c>
      <c r="AA55" s="65"/>
      <c r="AB55" s="65" t="s">
        <v>68</v>
      </c>
      <c r="AC55" s="65" t="s">
        <v>69</v>
      </c>
      <c r="AD55" s="65" t="s">
        <v>423</v>
      </c>
      <c r="AE55" s="65">
        <v>91534928</v>
      </c>
      <c r="AF55" s="65"/>
      <c r="AG55" s="65"/>
      <c r="AH55" s="65"/>
      <c r="AI55" s="65"/>
      <c r="AJ55" s="65"/>
      <c r="AK55" s="65"/>
      <c r="AL55" s="68">
        <f ca="1">+YEAR(TODAY())-YEAR(Tabla13[[#This Row],[FECHA DE NACIMIENTO]])</f>
        <v>123</v>
      </c>
      <c r="AM55" s="65">
        <v>31623</v>
      </c>
      <c r="AN55" s="66">
        <v>44958</v>
      </c>
      <c r="AO55" s="67">
        <v>90000000</v>
      </c>
      <c r="AP55" s="65"/>
      <c r="AQ55" s="65"/>
      <c r="AR55" s="65"/>
      <c r="AS55" s="69">
        <v>90000000</v>
      </c>
      <c r="AT55" s="65" t="s">
        <v>75</v>
      </c>
      <c r="AU55" s="66">
        <v>44958</v>
      </c>
      <c r="AV55" s="70" t="s">
        <v>74</v>
      </c>
      <c r="AW55" s="66">
        <v>44958</v>
      </c>
      <c r="AX55" s="66">
        <v>45260</v>
      </c>
      <c r="AY55" s="64">
        <f t="shared" si="0"/>
        <v>302</v>
      </c>
      <c r="AZ55" s="65" t="s">
        <v>124</v>
      </c>
      <c r="BA55" s="65">
        <v>1010181437</v>
      </c>
      <c r="BB55" s="67"/>
      <c r="BC55" s="71"/>
      <c r="BD55" s="65"/>
      <c r="BE55" s="65"/>
      <c r="BF55" s="65"/>
      <c r="BG55" s="71"/>
      <c r="BH55" s="65"/>
      <c r="BI55" s="71"/>
      <c r="BJ55" s="67">
        <f>(Tabla13[[#This Row],[VALOR TOTAL CONTRATO + VF]]+Tabla13[[#This Row],[ADICION 1 ]]+Tabla13[[#This Row],[ADICION 2]]-Tabla13[[#This Row],[LIBERACION]])</f>
        <v>90000000</v>
      </c>
      <c r="BK55" s="65"/>
      <c r="BL55" s="71"/>
      <c r="BM55" s="71"/>
      <c r="BN55" s="65"/>
      <c r="BO55" s="65"/>
      <c r="BP55" s="71"/>
      <c r="BQ55" s="65"/>
      <c r="BR55" s="67"/>
      <c r="BS55" s="71"/>
      <c r="BT55" s="65">
        <f t="shared" ref="BT55:BT62" si="2">SUM(AY55+BK55+BN55+BQ55)</f>
        <v>302</v>
      </c>
      <c r="BU55" s="71"/>
      <c r="BV55" s="70"/>
    </row>
    <row r="56" spans="1:74" ht="15" customHeight="1" x14ac:dyDescent="0.25">
      <c r="A56" s="42" t="s">
        <v>459</v>
      </c>
      <c r="B56" s="43" t="s">
        <v>460</v>
      </c>
      <c r="C56" s="44" t="s">
        <v>54</v>
      </c>
      <c r="D56" s="45">
        <v>151</v>
      </c>
      <c r="E56" s="45" t="s">
        <v>55</v>
      </c>
      <c r="F56" s="45" t="s">
        <v>125</v>
      </c>
      <c r="G56" s="45" t="s">
        <v>126</v>
      </c>
      <c r="H56" s="45" t="s">
        <v>57</v>
      </c>
      <c r="I56" s="46">
        <v>44957</v>
      </c>
      <c r="J56" s="45" t="s">
        <v>59</v>
      </c>
      <c r="K56" s="45" t="s">
        <v>128</v>
      </c>
      <c r="L56" s="45" t="s">
        <v>61</v>
      </c>
      <c r="M56" s="45" t="s">
        <v>129</v>
      </c>
      <c r="N56" s="45">
        <v>80131502</v>
      </c>
      <c r="O56" s="45" t="s">
        <v>130</v>
      </c>
      <c r="P56" s="47">
        <v>4950000</v>
      </c>
      <c r="Q56" s="47">
        <v>4800000</v>
      </c>
      <c r="R56" s="45">
        <v>19423</v>
      </c>
      <c r="S56" s="45" t="s">
        <v>131</v>
      </c>
      <c r="T56" s="45" t="s">
        <v>133</v>
      </c>
      <c r="U56" s="45" t="s">
        <v>132</v>
      </c>
      <c r="V56" s="72" t="s">
        <v>410</v>
      </c>
      <c r="W56" s="45"/>
      <c r="X56" s="45"/>
      <c r="Y56" s="46"/>
      <c r="Z56" s="45"/>
      <c r="AA56" s="45"/>
      <c r="AB56" s="45"/>
      <c r="AC56" s="45"/>
      <c r="AD56" s="45"/>
      <c r="AE56" s="45"/>
      <c r="AF56" s="45"/>
      <c r="AG56" s="45"/>
      <c r="AH56" s="45"/>
      <c r="AI56" s="45"/>
      <c r="AJ56" s="45"/>
      <c r="AK56" s="45"/>
      <c r="AL56" s="50">
        <f ca="1">+YEAR(TODAY())-YEAR(Tabla13[[#This Row],[FECHA DE NACIMIENTO]])</f>
        <v>123</v>
      </c>
      <c r="AM56" s="45"/>
      <c r="AN56" s="46"/>
      <c r="AO56" s="47"/>
      <c r="AP56" s="45"/>
      <c r="AQ56" s="45"/>
      <c r="AR56" s="45"/>
      <c r="AS56" s="51"/>
      <c r="AT56" s="45"/>
      <c r="AU56" s="46"/>
      <c r="AV56" s="52"/>
      <c r="AW56" s="46"/>
      <c r="AX56" s="46"/>
      <c r="AY56" s="44">
        <f t="shared" si="0"/>
        <v>0</v>
      </c>
      <c r="AZ56" s="45"/>
      <c r="BA56" s="45"/>
      <c r="BB56" s="47"/>
      <c r="BC56" s="49"/>
      <c r="BD56" s="45"/>
      <c r="BE56" s="45"/>
      <c r="BF56" s="45"/>
      <c r="BG56" s="49"/>
      <c r="BH56" s="45"/>
      <c r="BI56" s="49"/>
      <c r="BJ56" s="47">
        <f>(Tabla13[[#This Row],[VALOR TOTAL CONTRATO + VF]]+Tabla13[[#This Row],[ADICION 1 ]]+Tabla13[[#This Row],[ADICION 2]]-Tabla13[[#This Row],[LIBERACION]])</f>
        <v>0</v>
      </c>
      <c r="BK56" s="45"/>
      <c r="BL56" s="49"/>
      <c r="BM56" s="49"/>
      <c r="BN56" s="45"/>
      <c r="BO56" s="45"/>
      <c r="BP56" s="49"/>
      <c r="BQ56" s="45"/>
      <c r="BR56" s="47"/>
      <c r="BS56" s="49"/>
      <c r="BT56" s="45">
        <f t="shared" si="2"/>
        <v>0</v>
      </c>
      <c r="BU56" s="49"/>
      <c r="BV56" s="52"/>
    </row>
    <row r="57" spans="1:74" ht="15" customHeight="1" x14ac:dyDescent="0.25">
      <c r="A57" s="42" t="s">
        <v>459</v>
      </c>
      <c r="B57" s="43" t="s">
        <v>460</v>
      </c>
      <c r="C57" s="44" t="s">
        <v>54</v>
      </c>
      <c r="D57" s="45">
        <v>13</v>
      </c>
      <c r="E57" s="45" t="s">
        <v>409</v>
      </c>
      <c r="F57" s="45" t="s">
        <v>388</v>
      </c>
      <c r="G57" s="45" t="s">
        <v>389</v>
      </c>
      <c r="H57" s="45" t="s">
        <v>57</v>
      </c>
      <c r="I57" s="46">
        <v>44957</v>
      </c>
      <c r="J57" s="45" t="s">
        <v>59</v>
      </c>
      <c r="K57" s="45" t="s">
        <v>60</v>
      </c>
      <c r="L57" s="45" t="s">
        <v>150</v>
      </c>
      <c r="M57" s="45" t="s">
        <v>390</v>
      </c>
      <c r="N57" s="45" t="s">
        <v>391</v>
      </c>
      <c r="O57" s="45" t="s">
        <v>734</v>
      </c>
      <c r="P57" s="47">
        <v>66000000</v>
      </c>
      <c r="Q57" s="47">
        <v>66000000</v>
      </c>
      <c r="R57" s="45">
        <v>15423</v>
      </c>
      <c r="S57" s="45" t="s">
        <v>153</v>
      </c>
      <c r="T57" s="45" t="s">
        <v>64</v>
      </c>
      <c r="U57" s="45" t="s">
        <v>65</v>
      </c>
      <c r="V57" s="45"/>
      <c r="W57" s="45" t="s">
        <v>743</v>
      </c>
      <c r="X57" s="45" t="s">
        <v>744</v>
      </c>
      <c r="Y57" s="46">
        <v>44958</v>
      </c>
      <c r="Z57" s="45" t="s">
        <v>67</v>
      </c>
      <c r="AA57" s="45"/>
      <c r="AB57" s="45" t="s">
        <v>68</v>
      </c>
      <c r="AC57" s="45" t="s">
        <v>69</v>
      </c>
      <c r="AD57" s="45" t="s">
        <v>745</v>
      </c>
      <c r="AE57" s="45" t="s">
        <v>746</v>
      </c>
      <c r="AF57" s="45"/>
      <c r="AG57" s="45" t="s">
        <v>747</v>
      </c>
      <c r="AH57" s="45" t="s">
        <v>551</v>
      </c>
      <c r="AI57" s="45"/>
      <c r="AJ57" s="45"/>
      <c r="AK57" s="45">
        <v>22193</v>
      </c>
      <c r="AL57" s="50" t="e">
        <f ca="1">+YEAR(TODAY())-YEAR([1]!Tabla1[[#This Row],[FECHA DE NACIMIENTO]])</f>
        <v>#REF!</v>
      </c>
      <c r="AM57" s="45">
        <v>31823</v>
      </c>
      <c r="AN57" s="46">
        <v>44959</v>
      </c>
      <c r="AO57" s="47">
        <v>66000000</v>
      </c>
      <c r="AP57" s="45"/>
      <c r="AQ57" s="45"/>
      <c r="AR57" s="45"/>
      <c r="AS57" s="51">
        <f>SUM(AO57+AP57+AQ57+AR57)</f>
        <v>66000000</v>
      </c>
      <c r="AT57" s="45" t="s">
        <v>75</v>
      </c>
      <c r="AU57" s="46">
        <v>44959</v>
      </c>
      <c r="AV57" s="52" t="s">
        <v>74</v>
      </c>
      <c r="AW57" s="46">
        <v>44963</v>
      </c>
      <c r="AX57" s="46">
        <v>45291</v>
      </c>
      <c r="AY57" s="44">
        <f t="shared" si="0"/>
        <v>328</v>
      </c>
      <c r="AZ57" s="45" t="s">
        <v>156</v>
      </c>
      <c r="BA57" s="45">
        <v>79276876</v>
      </c>
      <c r="BB57" s="47"/>
      <c r="BC57" s="49"/>
      <c r="BD57" s="45"/>
      <c r="BE57" s="45"/>
      <c r="BF57" s="45"/>
      <c r="BG57" s="49"/>
      <c r="BH57" s="45"/>
      <c r="BI57" s="49"/>
      <c r="BJ57" s="47" t="e">
        <f>([1]!Tabla1[[#This Row],[VALOR TOTAL CONTRATO + VF]]+[1]!Tabla1[[#This Row],[ADICION 1 ]]+[1]!Tabla1[[#This Row],[ADICION 2]]-[1]!Tabla1[[#This Row],[LIBERACION]])</f>
        <v>#REF!</v>
      </c>
      <c r="BK57" s="45"/>
      <c r="BL57" s="49"/>
      <c r="BM57" s="49"/>
      <c r="BN57" s="45"/>
      <c r="BO57" s="45"/>
      <c r="BP57" s="49"/>
      <c r="BQ57" s="45"/>
      <c r="BR57" s="47"/>
      <c r="BS57" s="49"/>
      <c r="BT57" s="45">
        <f t="shared" si="2"/>
        <v>328</v>
      </c>
      <c r="BU57" s="49"/>
      <c r="BV57" s="52"/>
    </row>
    <row r="58" spans="1:74" ht="15" customHeight="1" x14ac:dyDescent="0.25">
      <c r="A58" s="42" t="s">
        <v>459</v>
      </c>
      <c r="B58" s="43" t="s">
        <v>460</v>
      </c>
      <c r="C58" s="44" t="s">
        <v>54</v>
      </c>
      <c r="D58" s="45">
        <v>15</v>
      </c>
      <c r="E58" s="45" t="s">
        <v>409</v>
      </c>
      <c r="F58" s="45" t="s">
        <v>392</v>
      </c>
      <c r="G58" s="45" t="s">
        <v>393</v>
      </c>
      <c r="H58" s="45" t="s">
        <v>57</v>
      </c>
      <c r="I58" s="46">
        <v>44957</v>
      </c>
      <c r="J58" s="45" t="s">
        <v>59</v>
      </c>
      <c r="K58" s="45" t="s">
        <v>60</v>
      </c>
      <c r="L58" s="45" t="s">
        <v>150</v>
      </c>
      <c r="M58" s="45" t="s">
        <v>394</v>
      </c>
      <c r="N58" s="45" t="s">
        <v>748</v>
      </c>
      <c r="O58" s="45" t="s">
        <v>631</v>
      </c>
      <c r="P58" s="47">
        <v>55000000</v>
      </c>
      <c r="Q58" s="47">
        <v>55000000</v>
      </c>
      <c r="R58" s="45">
        <v>15123</v>
      </c>
      <c r="S58" s="45" t="s">
        <v>349</v>
      </c>
      <c r="T58" s="45" t="s">
        <v>64</v>
      </c>
      <c r="U58" s="45" t="s">
        <v>65</v>
      </c>
      <c r="V58" s="45"/>
      <c r="W58" s="45" t="s">
        <v>749</v>
      </c>
      <c r="X58" s="45" t="s">
        <v>127</v>
      </c>
      <c r="Y58" s="46">
        <v>44958</v>
      </c>
      <c r="Z58" s="45" t="s">
        <v>67</v>
      </c>
      <c r="AA58" s="45"/>
      <c r="AB58" s="45" t="s">
        <v>68</v>
      </c>
      <c r="AC58" s="45" t="s">
        <v>69</v>
      </c>
      <c r="AD58" s="45" t="s">
        <v>750</v>
      </c>
      <c r="AE58" s="45">
        <v>21013881</v>
      </c>
      <c r="AF58" s="45"/>
      <c r="AG58" s="45" t="s">
        <v>747</v>
      </c>
      <c r="AH58" s="45" t="s">
        <v>551</v>
      </c>
      <c r="AI58" s="45"/>
      <c r="AJ58" s="45"/>
      <c r="AK58" s="45">
        <v>21938</v>
      </c>
      <c r="AL58" s="50" t="e">
        <f ca="1">+YEAR(TODAY())-YEAR([1]!Tabla1[[#This Row],[FECHA DE NACIMIENTO]])</f>
        <v>#REF!</v>
      </c>
      <c r="AM58" s="45">
        <v>15123</v>
      </c>
      <c r="AN58" s="46">
        <v>44959</v>
      </c>
      <c r="AO58" s="47">
        <v>55000000</v>
      </c>
      <c r="AP58" s="45"/>
      <c r="AQ58" s="45"/>
      <c r="AR58" s="45"/>
      <c r="AS58" s="51">
        <f>SUM(AO58+AP58+AQ58+AR58)</f>
        <v>55000000</v>
      </c>
      <c r="AT58" s="45" t="s">
        <v>75</v>
      </c>
      <c r="AU58" s="46">
        <v>44959</v>
      </c>
      <c r="AV58" s="52" t="s">
        <v>74</v>
      </c>
      <c r="AW58" s="46">
        <v>44959</v>
      </c>
      <c r="AX58" s="46">
        <v>45291</v>
      </c>
      <c r="AY58" s="44">
        <f t="shared" si="0"/>
        <v>332</v>
      </c>
      <c r="AZ58" s="45" t="s">
        <v>156</v>
      </c>
      <c r="BA58" s="45">
        <v>79276876</v>
      </c>
      <c r="BB58" s="47"/>
      <c r="BC58" s="49"/>
      <c r="BD58" s="45"/>
      <c r="BE58" s="45"/>
      <c r="BF58" s="45"/>
      <c r="BG58" s="49"/>
      <c r="BH58" s="45"/>
      <c r="BI58" s="49"/>
      <c r="BJ58" s="47" t="e">
        <f>([1]!Tabla1[[#This Row],[VALOR TOTAL CONTRATO + VF]]+[1]!Tabla1[[#This Row],[ADICION 1 ]]+[1]!Tabla1[[#This Row],[ADICION 2]]-[1]!Tabla1[[#This Row],[LIBERACION]])</f>
        <v>#REF!</v>
      </c>
      <c r="BK58" s="45"/>
      <c r="BL58" s="49"/>
      <c r="BM58" s="49"/>
      <c r="BN58" s="45"/>
      <c r="BO58" s="45"/>
      <c r="BP58" s="49"/>
      <c r="BQ58" s="45"/>
      <c r="BR58" s="47"/>
      <c r="BS58" s="49"/>
      <c r="BT58" s="45">
        <f t="shared" si="2"/>
        <v>332</v>
      </c>
      <c r="BU58" s="49"/>
      <c r="BV58" s="52"/>
    </row>
    <row r="59" spans="1:74" ht="15" customHeight="1" x14ac:dyDescent="0.25">
      <c r="A59" s="42" t="s">
        <v>459</v>
      </c>
      <c r="B59" s="43" t="s">
        <v>460</v>
      </c>
      <c r="C59" s="44" t="s">
        <v>54</v>
      </c>
      <c r="D59" s="45">
        <v>16</v>
      </c>
      <c r="E59" s="45" t="s">
        <v>409</v>
      </c>
      <c r="F59" s="45" t="s">
        <v>398</v>
      </c>
      <c r="G59" s="45" t="s">
        <v>399</v>
      </c>
      <c r="H59" s="45" t="s">
        <v>57</v>
      </c>
      <c r="I59" s="46">
        <v>44957</v>
      </c>
      <c r="J59" s="45" t="s">
        <v>59</v>
      </c>
      <c r="K59" s="45" t="s">
        <v>60</v>
      </c>
      <c r="L59" s="45" t="s">
        <v>150</v>
      </c>
      <c r="M59" s="45" t="s">
        <v>400</v>
      </c>
      <c r="N59" s="45" t="s">
        <v>160</v>
      </c>
      <c r="O59" s="45" t="s">
        <v>734</v>
      </c>
      <c r="P59" s="47">
        <v>55000000</v>
      </c>
      <c r="Q59" s="47">
        <v>55000000</v>
      </c>
      <c r="R59" s="45">
        <v>15323</v>
      </c>
      <c r="S59" s="45" t="s">
        <v>153</v>
      </c>
      <c r="T59" s="45" t="s">
        <v>64</v>
      </c>
      <c r="U59" s="45" t="s">
        <v>65</v>
      </c>
      <c r="V59" s="45"/>
      <c r="W59" s="45" t="s">
        <v>755</v>
      </c>
      <c r="X59" s="45" t="s">
        <v>57</v>
      </c>
      <c r="Y59" s="46">
        <v>44957</v>
      </c>
      <c r="Z59" s="45" t="s">
        <v>67</v>
      </c>
      <c r="AA59" s="45"/>
      <c r="AB59" s="45" t="s">
        <v>68</v>
      </c>
      <c r="AC59" s="45" t="s">
        <v>69</v>
      </c>
      <c r="AD59" s="45" t="s">
        <v>756</v>
      </c>
      <c r="AE59" s="45">
        <v>1003821306</v>
      </c>
      <c r="AF59" s="45"/>
      <c r="AG59" s="45" t="s">
        <v>757</v>
      </c>
      <c r="AH59" s="45" t="s">
        <v>551</v>
      </c>
      <c r="AI59" s="45"/>
      <c r="AJ59" s="45"/>
      <c r="AK59" s="45">
        <v>32417</v>
      </c>
      <c r="AL59" s="50" t="e">
        <f ca="1">+YEAR(TODAY())-YEAR([1]!Tabla1[[#This Row],[FECHA DE NACIMIENTO]])</f>
        <v>#REF!</v>
      </c>
      <c r="AM59" s="45">
        <v>33323</v>
      </c>
      <c r="AN59" s="46">
        <v>44980</v>
      </c>
      <c r="AO59" s="47">
        <v>55000000</v>
      </c>
      <c r="AP59" s="45"/>
      <c r="AQ59" s="45"/>
      <c r="AR59" s="45"/>
      <c r="AS59" s="51">
        <f>SUM(AO59+AP59+AQ59+AR59)</f>
        <v>55000000</v>
      </c>
      <c r="AT59" s="45" t="s">
        <v>297</v>
      </c>
      <c r="AU59" s="46">
        <v>44960</v>
      </c>
      <c r="AV59" s="52" t="s">
        <v>74</v>
      </c>
      <c r="AW59" s="46">
        <v>44960</v>
      </c>
      <c r="AX59" s="46">
        <v>45291</v>
      </c>
      <c r="AY59" s="44">
        <f t="shared" si="0"/>
        <v>331</v>
      </c>
      <c r="AZ59" s="45" t="s">
        <v>156</v>
      </c>
      <c r="BA59" s="45">
        <v>79276876</v>
      </c>
      <c r="BB59" s="47"/>
      <c r="BC59" s="49"/>
      <c r="BD59" s="45"/>
      <c r="BE59" s="45"/>
      <c r="BF59" s="45"/>
      <c r="BG59" s="49"/>
      <c r="BH59" s="45"/>
      <c r="BI59" s="49"/>
      <c r="BJ59" s="47" t="e">
        <f>([1]!Tabla1[[#This Row],[VALOR TOTAL CONTRATO + VF]]+[1]!Tabla1[[#This Row],[ADICION 1 ]]+[1]!Tabla1[[#This Row],[ADICION 2]]-[1]!Tabla1[[#This Row],[LIBERACION]])</f>
        <v>#REF!</v>
      </c>
      <c r="BK59" s="45"/>
      <c r="BL59" s="49"/>
      <c r="BM59" s="49"/>
      <c r="BN59" s="45"/>
      <c r="BO59" s="45"/>
      <c r="BP59" s="49"/>
      <c r="BQ59" s="45"/>
      <c r="BR59" s="47"/>
      <c r="BS59" s="49"/>
      <c r="BT59" s="45">
        <f t="shared" si="2"/>
        <v>331</v>
      </c>
      <c r="BU59" s="49"/>
      <c r="BV59" s="52"/>
    </row>
    <row r="60" spans="1:74" ht="15" customHeight="1" x14ac:dyDescent="0.25">
      <c r="A60" s="42" t="s">
        <v>459</v>
      </c>
      <c r="B60" s="43" t="s">
        <v>460</v>
      </c>
      <c r="C60" s="44" t="s">
        <v>54</v>
      </c>
      <c r="D60" s="45">
        <v>6</v>
      </c>
      <c r="E60" s="45" t="s">
        <v>409</v>
      </c>
      <c r="F60" s="45" t="s">
        <v>401</v>
      </c>
      <c r="G60" s="45" t="s">
        <v>407</v>
      </c>
      <c r="H60" s="45" t="s">
        <v>57</v>
      </c>
      <c r="I60" s="46">
        <v>44957</v>
      </c>
      <c r="J60" s="45" t="s">
        <v>59</v>
      </c>
      <c r="K60" s="45" t="s">
        <v>60</v>
      </c>
      <c r="L60" s="45" t="s">
        <v>408</v>
      </c>
      <c r="M60" s="45" t="s">
        <v>402</v>
      </c>
      <c r="N60" s="45">
        <v>80161500</v>
      </c>
      <c r="O60" s="45" t="s">
        <v>631</v>
      </c>
      <c r="P60" s="47">
        <v>29700000</v>
      </c>
      <c r="Q60" s="47">
        <v>29700000</v>
      </c>
      <c r="R60" s="45">
        <v>10223</v>
      </c>
      <c r="S60" s="45" t="s">
        <v>63</v>
      </c>
      <c r="T60" s="45" t="s">
        <v>64</v>
      </c>
      <c r="U60" s="45" t="s">
        <v>65</v>
      </c>
      <c r="V60" s="45"/>
      <c r="W60" s="45" t="s">
        <v>762</v>
      </c>
      <c r="X60" s="45" t="s">
        <v>127</v>
      </c>
      <c r="Y60" s="46">
        <v>44958</v>
      </c>
      <c r="Z60" s="45" t="s">
        <v>763</v>
      </c>
      <c r="AA60" s="45"/>
      <c r="AB60" s="45" t="s">
        <v>68</v>
      </c>
      <c r="AC60" s="45" t="s">
        <v>69</v>
      </c>
      <c r="AD60" s="45" t="s">
        <v>764</v>
      </c>
      <c r="AE60" s="45">
        <v>53030141</v>
      </c>
      <c r="AF60" s="45"/>
      <c r="AG60" s="45" t="s">
        <v>765</v>
      </c>
      <c r="AH60" s="45" t="s">
        <v>551</v>
      </c>
      <c r="AI60" s="45"/>
      <c r="AJ60" s="45"/>
      <c r="AK60" s="45">
        <v>35883</v>
      </c>
      <c r="AL60" s="50" t="e">
        <f ca="1">+YEAR(TODAY())-YEAR([1]!Tabla1[[#This Row],[FECHA DE NACIMIENTO]])</f>
        <v>#REF!</v>
      </c>
      <c r="AM60" s="45">
        <v>31523</v>
      </c>
      <c r="AN60" s="46">
        <v>44958</v>
      </c>
      <c r="AO60" s="47">
        <v>29700000</v>
      </c>
      <c r="AP60" s="45"/>
      <c r="AQ60" s="45"/>
      <c r="AR60" s="45"/>
      <c r="AS60" s="51">
        <f>SUM(AO60+AP60+AQ60+AR60)</f>
        <v>29700000</v>
      </c>
      <c r="AT60" s="45" t="s">
        <v>75</v>
      </c>
      <c r="AU60" s="46">
        <v>44945</v>
      </c>
      <c r="AV60" s="52" t="s">
        <v>74</v>
      </c>
      <c r="AW60" s="46">
        <v>44958</v>
      </c>
      <c r="AX60" s="46">
        <v>45291</v>
      </c>
      <c r="AY60" s="44">
        <f t="shared" si="0"/>
        <v>333</v>
      </c>
      <c r="AZ60" s="45" t="s">
        <v>766</v>
      </c>
      <c r="BA60" s="45">
        <v>55164919</v>
      </c>
      <c r="BB60" s="47"/>
      <c r="BC60" s="49"/>
      <c r="BD60" s="45"/>
      <c r="BE60" s="45"/>
      <c r="BF60" s="45"/>
      <c r="BG60" s="49"/>
      <c r="BH60" s="45"/>
      <c r="BI60" s="49"/>
      <c r="BJ60" s="47" t="e">
        <f>([1]!Tabla1[[#This Row],[VALOR TOTAL CONTRATO + VF]]+[1]!Tabla1[[#This Row],[ADICION 1 ]]+[1]!Tabla1[[#This Row],[ADICION 2]]-[1]!Tabla1[[#This Row],[LIBERACION]])</f>
        <v>#REF!</v>
      </c>
      <c r="BK60" s="45"/>
      <c r="BL60" s="49"/>
      <c r="BM60" s="49"/>
      <c r="BN60" s="45"/>
      <c r="BO60" s="45"/>
      <c r="BP60" s="49"/>
      <c r="BQ60" s="45"/>
      <c r="BR60" s="47"/>
      <c r="BS60" s="49"/>
      <c r="BT60" s="45">
        <f t="shared" si="2"/>
        <v>333</v>
      </c>
      <c r="BU60" s="49"/>
      <c r="BV60" s="52"/>
    </row>
    <row r="61" spans="1:74" ht="15" customHeight="1" x14ac:dyDescent="0.25">
      <c r="A61" s="42" t="s">
        <v>459</v>
      </c>
      <c r="B61" s="43" t="s">
        <v>460</v>
      </c>
      <c r="C61" s="44" t="s">
        <v>54</v>
      </c>
      <c r="D61" s="45">
        <v>206</v>
      </c>
      <c r="E61" s="45" t="s">
        <v>221</v>
      </c>
      <c r="F61" s="73" t="s">
        <v>552</v>
      </c>
      <c r="G61" s="45" t="s">
        <v>553</v>
      </c>
      <c r="H61" s="45" t="s">
        <v>127</v>
      </c>
      <c r="I61" s="74">
        <v>44963</v>
      </c>
      <c r="J61" s="73" t="s">
        <v>59</v>
      </c>
      <c r="K61" s="45" t="s">
        <v>60</v>
      </c>
      <c r="L61" s="45" t="s">
        <v>61</v>
      </c>
      <c r="M61" s="45" t="s">
        <v>554</v>
      </c>
      <c r="N61" s="45" t="s">
        <v>168</v>
      </c>
      <c r="O61" s="48" t="s">
        <v>169</v>
      </c>
      <c r="P61" s="47">
        <v>66000000</v>
      </c>
      <c r="Q61" s="47">
        <v>66000000</v>
      </c>
      <c r="R61" s="45">
        <v>19523</v>
      </c>
      <c r="S61" s="45" t="s">
        <v>309</v>
      </c>
      <c r="T61" s="45" t="s">
        <v>64</v>
      </c>
      <c r="U61" s="45" t="s">
        <v>65</v>
      </c>
      <c r="V61" s="45"/>
      <c r="W61" s="45" t="s">
        <v>555</v>
      </c>
      <c r="X61" s="45" t="s">
        <v>127</v>
      </c>
      <c r="Y61" s="46">
        <v>44965</v>
      </c>
      <c r="Z61" s="45" t="s">
        <v>60</v>
      </c>
      <c r="AA61" s="45"/>
      <c r="AB61" s="45" t="s">
        <v>68</v>
      </c>
      <c r="AC61" s="45" t="s">
        <v>69</v>
      </c>
      <c r="AD61" s="45" t="s">
        <v>556</v>
      </c>
      <c r="AE61" s="45">
        <v>7214449</v>
      </c>
      <c r="AF61" s="45" t="s">
        <v>141</v>
      </c>
      <c r="AG61" s="45" t="s">
        <v>557</v>
      </c>
      <c r="AH61" s="45" t="s">
        <v>551</v>
      </c>
      <c r="AI61" s="45" t="s">
        <v>467</v>
      </c>
      <c r="AJ61" s="45" t="s">
        <v>517</v>
      </c>
      <c r="AK61" s="45">
        <v>21224</v>
      </c>
      <c r="AL61" s="50" t="e">
        <f ca="1">+YEAR(TODAY())-YEAR([2]!Tabla1[[#This Row],[FECHA DE NACIMIENTO]])</f>
        <v>#REF!</v>
      </c>
      <c r="AM61" s="45">
        <v>35123</v>
      </c>
      <c r="AN61" s="49">
        <v>44964</v>
      </c>
      <c r="AO61" s="47">
        <v>66000000</v>
      </c>
      <c r="AP61" s="45"/>
      <c r="AQ61" s="45"/>
      <c r="AR61" s="45"/>
      <c r="AS61" s="75">
        <v>66000000</v>
      </c>
      <c r="AT61" s="45" t="s">
        <v>75</v>
      </c>
      <c r="AU61" s="49">
        <v>44964</v>
      </c>
      <c r="AV61" s="52" t="s">
        <v>74</v>
      </c>
      <c r="AW61" s="49">
        <v>44966</v>
      </c>
      <c r="AX61" s="49">
        <v>45291</v>
      </c>
      <c r="AY61" s="44">
        <f t="shared" si="0"/>
        <v>325</v>
      </c>
      <c r="AZ61" s="45" t="s">
        <v>558</v>
      </c>
      <c r="BA61" s="45">
        <v>79994053</v>
      </c>
      <c r="BB61" s="47"/>
      <c r="BC61" s="49"/>
      <c r="BD61" s="45"/>
      <c r="BE61" s="45"/>
      <c r="BF61" s="45"/>
      <c r="BG61" s="49"/>
      <c r="BH61" s="45"/>
      <c r="BI61" s="49"/>
      <c r="BJ61" s="47" t="e">
        <f>([2]!Tabla1[[#This Row],[VALOR TOTAL CONTRATO + VF]]+[2]!Tabla1[[#This Row],[ADICION 1 ]]+[2]!Tabla1[[#This Row],[ADICION 2]]-[2]!Tabla1[[#This Row],[LIBERACION]])</f>
        <v>#REF!</v>
      </c>
      <c r="BK61" s="45"/>
      <c r="BL61" s="49"/>
      <c r="BM61" s="49"/>
      <c r="BN61" s="45"/>
      <c r="BO61" s="45"/>
      <c r="BP61" s="49"/>
      <c r="BQ61" s="45"/>
      <c r="BR61" s="47"/>
      <c r="BS61" s="49"/>
      <c r="BT61" s="45">
        <f t="shared" si="2"/>
        <v>325</v>
      </c>
      <c r="BU61" s="49"/>
      <c r="BV61" s="52"/>
    </row>
    <row r="62" spans="1:74" ht="15" customHeight="1" x14ac:dyDescent="0.25">
      <c r="A62" s="42" t="s">
        <v>459</v>
      </c>
      <c r="B62" s="43" t="s">
        <v>460</v>
      </c>
      <c r="C62" s="44" t="s">
        <v>54</v>
      </c>
      <c r="D62" s="45">
        <v>275</v>
      </c>
      <c r="E62" s="45" t="s">
        <v>221</v>
      </c>
      <c r="F62" s="73" t="s">
        <v>584</v>
      </c>
      <c r="G62" s="45" t="s">
        <v>585</v>
      </c>
      <c r="H62" s="45" t="s">
        <v>127</v>
      </c>
      <c r="I62" s="74">
        <v>44963</v>
      </c>
      <c r="J62" s="45" t="s">
        <v>59</v>
      </c>
      <c r="K62" s="45" t="s">
        <v>60</v>
      </c>
      <c r="L62" s="45" t="s">
        <v>86</v>
      </c>
      <c r="M62" s="73" t="s">
        <v>586</v>
      </c>
      <c r="N62" s="45" t="s">
        <v>587</v>
      </c>
      <c r="O62" s="48" t="s">
        <v>588</v>
      </c>
      <c r="P62" s="47">
        <v>38500000</v>
      </c>
      <c r="Q62" s="47">
        <v>38500000</v>
      </c>
      <c r="R62" s="45">
        <v>14623</v>
      </c>
      <c r="S62" s="45" t="s">
        <v>89</v>
      </c>
      <c r="T62" s="45" t="s">
        <v>64</v>
      </c>
      <c r="U62" s="45" t="s">
        <v>65</v>
      </c>
      <c r="V62" s="45"/>
      <c r="W62" s="45" t="s">
        <v>589</v>
      </c>
      <c r="X62" s="45" t="s">
        <v>127</v>
      </c>
      <c r="Y62" s="46">
        <v>44964</v>
      </c>
      <c r="Z62" s="45" t="s">
        <v>60</v>
      </c>
      <c r="AA62" s="45"/>
      <c r="AB62" s="45" t="s">
        <v>68</v>
      </c>
      <c r="AC62" s="45" t="s">
        <v>69</v>
      </c>
      <c r="AD62" s="45" t="s">
        <v>590</v>
      </c>
      <c r="AE62" s="45">
        <v>19262345</v>
      </c>
      <c r="AF62" s="45" t="s">
        <v>141</v>
      </c>
      <c r="AG62" s="45" t="s">
        <v>591</v>
      </c>
      <c r="AH62" s="45" t="s">
        <v>551</v>
      </c>
      <c r="AI62" s="45" t="s">
        <v>467</v>
      </c>
      <c r="AJ62" s="45" t="s">
        <v>517</v>
      </c>
      <c r="AK62" s="45">
        <v>20684</v>
      </c>
      <c r="AL62" s="50" t="e">
        <f ca="1">+YEAR(TODAY())-YEAR([2]!Tabla1[[#This Row],[FECHA DE NACIMIENTO]])</f>
        <v>#REF!</v>
      </c>
      <c r="AM62" s="45">
        <v>35023</v>
      </c>
      <c r="AN62" s="49">
        <v>44964</v>
      </c>
      <c r="AO62" s="47">
        <v>38500000</v>
      </c>
      <c r="AP62" s="45"/>
      <c r="AQ62" s="45"/>
      <c r="AR62" s="45"/>
      <c r="AS62" s="75">
        <v>38500000</v>
      </c>
      <c r="AT62" s="45" t="s">
        <v>75</v>
      </c>
      <c r="AU62" s="49">
        <v>44963</v>
      </c>
      <c r="AV62" s="45" t="s">
        <v>74</v>
      </c>
      <c r="AW62" s="49">
        <v>44964</v>
      </c>
      <c r="AX62" s="49">
        <v>45291</v>
      </c>
      <c r="AY62" s="44">
        <f t="shared" si="0"/>
        <v>327</v>
      </c>
      <c r="AZ62" s="45" t="s">
        <v>92</v>
      </c>
      <c r="BA62" s="45">
        <v>19498970</v>
      </c>
      <c r="BB62" s="47"/>
      <c r="BC62" s="49"/>
      <c r="BD62" s="45"/>
      <c r="BE62" s="45"/>
      <c r="BF62" s="45"/>
      <c r="BG62" s="49"/>
      <c r="BH62" s="45"/>
      <c r="BI62" s="49"/>
      <c r="BJ62" s="47" t="e">
        <f>([2]!Tabla1[[#This Row],[VALOR TOTAL CONTRATO + VF]]+[2]!Tabla1[[#This Row],[ADICION 1 ]]+[2]!Tabla1[[#This Row],[ADICION 2]]-[2]!Tabla1[[#This Row],[LIBERACION]])</f>
        <v>#REF!</v>
      </c>
      <c r="BK62" s="45"/>
      <c r="BL62" s="49"/>
      <c r="BM62" s="49"/>
      <c r="BN62" s="45"/>
      <c r="BO62" s="45"/>
      <c r="BP62" s="49"/>
      <c r="BQ62" s="45"/>
      <c r="BR62" s="47"/>
      <c r="BS62" s="49"/>
      <c r="BT62" s="45">
        <f t="shared" si="2"/>
        <v>327</v>
      </c>
      <c r="BU62" s="49"/>
      <c r="BV62" s="52"/>
    </row>
    <row r="63" spans="1:74" ht="15" customHeight="1" x14ac:dyDescent="0.25">
      <c r="A63" s="42" t="s">
        <v>459</v>
      </c>
      <c r="B63" s="43" t="s">
        <v>460</v>
      </c>
      <c r="C63" s="44" t="s">
        <v>54</v>
      </c>
      <c r="D63" s="45">
        <v>64</v>
      </c>
      <c r="E63" s="45" t="s">
        <v>55</v>
      </c>
      <c r="F63" s="73" t="s">
        <v>490</v>
      </c>
      <c r="G63" s="45" t="s">
        <v>491</v>
      </c>
      <c r="H63" s="45" t="s">
        <v>127</v>
      </c>
      <c r="I63" s="74">
        <v>44966</v>
      </c>
      <c r="J63" s="45" t="s">
        <v>492</v>
      </c>
      <c r="K63" s="45" t="s">
        <v>493</v>
      </c>
      <c r="L63" s="45" t="s">
        <v>225</v>
      </c>
      <c r="M63" s="73" t="s">
        <v>494</v>
      </c>
      <c r="N63" s="48">
        <v>43232300</v>
      </c>
      <c r="O63" s="48" t="s">
        <v>495</v>
      </c>
      <c r="P63" s="47">
        <v>760000000</v>
      </c>
      <c r="Q63" s="47">
        <v>759787267</v>
      </c>
      <c r="R63" s="45">
        <v>15923</v>
      </c>
      <c r="S63" s="45" t="s">
        <v>89</v>
      </c>
      <c r="T63" s="45" t="s">
        <v>448</v>
      </c>
      <c r="U63" s="45"/>
      <c r="V63" s="45"/>
      <c r="W63" s="45"/>
      <c r="X63" s="45"/>
      <c r="Y63" s="49"/>
      <c r="Z63" s="45"/>
      <c r="AA63" s="45"/>
      <c r="AB63" s="45"/>
      <c r="AC63" s="45"/>
      <c r="AD63" s="45"/>
      <c r="AE63" s="45"/>
      <c r="AF63" s="45"/>
      <c r="AG63" s="45"/>
      <c r="AH63" s="45"/>
      <c r="AI63" s="45"/>
      <c r="AJ63" s="45"/>
      <c r="AK63" s="45"/>
      <c r="AL63" s="50"/>
      <c r="AM63" s="45"/>
      <c r="AN63" s="49"/>
      <c r="AO63" s="47"/>
      <c r="AP63" s="45"/>
      <c r="AQ63" s="45"/>
      <c r="AR63" s="45"/>
      <c r="AS63" s="75"/>
      <c r="AT63" s="45"/>
      <c r="AU63" s="49"/>
      <c r="AV63" s="45"/>
      <c r="AW63" s="49"/>
      <c r="AX63" s="49"/>
      <c r="AY63" s="44">
        <f t="shared" si="0"/>
        <v>0</v>
      </c>
      <c r="AZ63" s="45"/>
      <c r="BA63" s="45"/>
      <c r="BB63" s="47"/>
      <c r="BC63" s="49"/>
      <c r="BD63" s="45"/>
      <c r="BE63" s="45"/>
      <c r="BF63" s="45"/>
      <c r="BG63" s="49"/>
      <c r="BH63" s="45"/>
      <c r="BI63" s="49"/>
      <c r="BJ63" s="47"/>
      <c r="BK63" s="45"/>
      <c r="BL63" s="49"/>
      <c r="BM63" s="49"/>
      <c r="BN63" s="45"/>
      <c r="BO63" s="45"/>
      <c r="BP63" s="49"/>
      <c r="BQ63" s="45"/>
      <c r="BR63" s="47"/>
      <c r="BS63" s="49"/>
      <c r="BT63" s="45"/>
      <c r="BU63" s="49"/>
      <c r="BV63" s="52"/>
    </row>
    <row r="64" spans="1:74" ht="15" customHeight="1" x14ac:dyDescent="0.25">
      <c r="A64" s="42" t="s">
        <v>459</v>
      </c>
      <c r="B64" s="43" t="s">
        <v>460</v>
      </c>
      <c r="C64" s="44" t="s">
        <v>54</v>
      </c>
      <c r="D64" s="45">
        <v>5</v>
      </c>
      <c r="E64" s="45" t="s">
        <v>767</v>
      </c>
      <c r="F64" s="73" t="s">
        <v>619</v>
      </c>
      <c r="G64" s="45" t="s">
        <v>620</v>
      </c>
      <c r="H64" s="45" t="s">
        <v>127</v>
      </c>
      <c r="I64" s="46">
        <v>44967</v>
      </c>
      <c r="J64" s="45" t="s">
        <v>59</v>
      </c>
      <c r="K64" s="45" t="s">
        <v>60</v>
      </c>
      <c r="L64" s="45" t="s">
        <v>621</v>
      </c>
      <c r="M64" s="73" t="s">
        <v>622</v>
      </c>
      <c r="N64" s="45">
        <v>80111607</v>
      </c>
      <c r="O64" s="45" t="s">
        <v>623</v>
      </c>
      <c r="P64" s="47">
        <v>52750000</v>
      </c>
      <c r="Q64" s="47">
        <v>52750000</v>
      </c>
      <c r="R64" s="45">
        <v>21023</v>
      </c>
      <c r="S64" s="45" t="s">
        <v>63</v>
      </c>
      <c r="T64" s="45" t="s">
        <v>64</v>
      </c>
      <c r="U64" s="45" t="s">
        <v>65</v>
      </c>
      <c r="V64" s="45"/>
      <c r="W64" s="45" t="s">
        <v>624</v>
      </c>
      <c r="X64" s="45" t="s">
        <v>744</v>
      </c>
      <c r="Y64" s="46">
        <v>44970</v>
      </c>
      <c r="Z64" s="45" t="s">
        <v>67</v>
      </c>
      <c r="AA64" s="45"/>
      <c r="AB64" s="45" t="s">
        <v>68</v>
      </c>
      <c r="AC64" s="45" t="s">
        <v>69</v>
      </c>
      <c r="AD64" s="45" t="s">
        <v>625</v>
      </c>
      <c r="AE64" s="45">
        <v>1084258429</v>
      </c>
      <c r="AF64" s="45"/>
      <c r="AG64" s="45" t="s">
        <v>626</v>
      </c>
      <c r="AH64" s="45" t="s">
        <v>551</v>
      </c>
      <c r="AI64" s="45"/>
      <c r="AJ64" s="45"/>
      <c r="AK64" s="45">
        <v>34725</v>
      </c>
      <c r="AL64" s="50" t="e">
        <f ca="1">+YEAR(TODAY())-YEAR([1]!Tabla1[[#This Row],[FECHA DE NACIMIENTO]])</f>
        <v>#REF!</v>
      </c>
      <c r="AM64" s="45">
        <v>37223</v>
      </c>
      <c r="AN64" s="46">
        <v>44971</v>
      </c>
      <c r="AO64" s="47">
        <v>52500000</v>
      </c>
      <c r="AP64" s="45"/>
      <c r="AQ64" s="45"/>
      <c r="AR64" s="45"/>
      <c r="AS64" s="51">
        <f>SUM(AO64+AP64+AQ64+AR64)</f>
        <v>52500000</v>
      </c>
      <c r="AT64" s="45" t="s">
        <v>297</v>
      </c>
      <c r="AU64" s="46">
        <v>44971</v>
      </c>
      <c r="AV64" s="45" t="s">
        <v>74</v>
      </c>
      <c r="AW64" s="46">
        <v>44972</v>
      </c>
      <c r="AX64" s="46">
        <v>45291</v>
      </c>
      <c r="AY64" s="44">
        <f t="shared" si="0"/>
        <v>319</v>
      </c>
      <c r="AZ64" s="45" t="s">
        <v>627</v>
      </c>
      <c r="BA64" s="45">
        <v>55164919</v>
      </c>
      <c r="BB64" s="47"/>
      <c r="BC64" s="49"/>
      <c r="BD64" s="45"/>
      <c r="BE64" s="45"/>
      <c r="BF64" s="45"/>
      <c r="BG64" s="49"/>
      <c r="BH64" s="45"/>
      <c r="BI64" s="49"/>
      <c r="BJ64" s="47" t="e">
        <f>([1]!Tabla1[[#This Row],[VALOR TOTAL CONTRATO + VF]]+[1]!Tabla1[[#This Row],[ADICION 1 ]]+[1]!Tabla1[[#This Row],[ADICION 2]]-[1]!Tabla1[[#This Row],[LIBERACION]])</f>
        <v>#REF!</v>
      </c>
      <c r="BK64" s="45"/>
      <c r="BL64" s="49"/>
      <c r="BM64" s="49"/>
      <c r="BN64" s="45"/>
      <c r="BO64" s="45"/>
      <c r="BP64" s="49"/>
      <c r="BQ64" s="45"/>
      <c r="BR64" s="47"/>
      <c r="BS64" s="49"/>
      <c r="BT64" s="45">
        <f>SUM(AY64+BK64+BN64+BQ64)</f>
        <v>319</v>
      </c>
      <c r="BU64" s="49"/>
      <c r="BV64" s="52"/>
    </row>
    <row r="65" spans="1:74" ht="15" customHeight="1" x14ac:dyDescent="0.25">
      <c r="A65" s="42" t="s">
        <v>459</v>
      </c>
      <c r="B65" s="43" t="s">
        <v>460</v>
      </c>
      <c r="C65" s="44" t="s">
        <v>54</v>
      </c>
      <c r="D65" s="45">
        <v>201</v>
      </c>
      <c r="E65" s="45" t="s">
        <v>221</v>
      </c>
      <c r="F65" s="73" t="s">
        <v>545</v>
      </c>
      <c r="G65" s="45" t="s">
        <v>546</v>
      </c>
      <c r="H65" s="45" t="s">
        <v>127</v>
      </c>
      <c r="I65" s="74">
        <v>44967</v>
      </c>
      <c r="J65" s="45" t="s">
        <v>59</v>
      </c>
      <c r="K65" s="45" t="s">
        <v>60</v>
      </c>
      <c r="L65" s="45" t="s">
        <v>61</v>
      </c>
      <c r="M65" s="73" t="s">
        <v>547</v>
      </c>
      <c r="N65" s="45">
        <v>81111504</v>
      </c>
      <c r="O65" s="48" t="s">
        <v>138</v>
      </c>
      <c r="P65" s="47">
        <v>90000000</v>
      </c>
      <c r="Q65" s="47">
        <v>90000000</v>
      </c>
      <c r="R65" s="45">
        <v>12723</v>
      </c>
      <c r="S65" s="45" t="s">
        <v>294</v>
      </c>
      <c r="T65" s="45" t="s">
        <v>64</v>
      </c>
      <c r="U65" s="45" t="s">
        <v>65</v>
      </c>
      <c r="V65" s="45"/>
      <c r="W65" s="45" t="s">
        <v>548</v>
      </c>
      <c r="X65" s="45" t="s">
        <v>127</v>
      </c>
      <c r="Y65" s="46">
        <v>44967</v>
      </c>
      <c r="Z65" s="45" t="s">
        <v>60</v>
      </c>
      <c r="AA65" s="45"/>
      <c r="AB65" s="45" t="s">
        <v>68</v>
      </c>
      <c r="AC65" s="45" t="s">
        <v>69</v>
      </c>
      <c r="AD65" s="45" t="s">
        <v>549</v>
      </c>
      <c r="AE65" s="45">
        <v>51833082</v>
      </c>
      <c r="AF65" s="45" t="s">
        <v>141</v>
      </c>
      <c r="AG65" s="45" t="s">
        <v>550</v>
      </c>
      <c r="AH65" s="45" t="s">
        <v>551</v>
      </c>
      <c r="AI65" s="45" t="s">
        <v>467</v>
      </c>
      <c r="AJ65" s="45" t="s">
        <v>517</v>
      </c>
      <c r="AK65" s="45">
        <v>24402</v>
      </c>
      <c r="AL65" s="50" t="e">
        <f ca="1">+YEAR(TODAY())-YEAR([2]!Tabla1[[#This Row],[FECHA DE NACIMIENTO]])</f>
        <v>#REF!</v>
      </c>
      <c r="AM65" s="45">
        <v>36323</v>
      </c>
      <c r="AN65" s="49">
        <v>44967</v>
      </c>
      <c r="AO65" s="47">
        <v>90000000</v>
      </c>
      <c r="AP65" s="45"/>
      <c r="AQ65" s="45"/>
      <c r="AR65" s="45"/>
      <c r="AS65" s="75">
        <v>90000000</v>
      </c>
      <c r="AT65" s="45" t="s">
        <v>75</v>
      </c>
      <c r="AU65" s="49">
        <v>44967</v>
      </c>
      <c r="AV65" s="45" t="s">
        <v>74</v>
      </c>
      <c r="AW65" s="49">
        <v>44970</v>
      </c>
      <c r="AX65" s="49">
        <v>45272</v>
      </c>
      <c r="AY65" s="44">
        <f t="shared" si="0"/>
        <v>302</v>
      </c>
      <c r="AZ65" s="45" t="s">
        <v>92</v>
      </c>
      <c r="BA65" s="45">
        <v>19498970</v>
      </c>
      <c r="BB65" s="47"/>
      <c r="BC65" s="49"/>
      <c r="BD65" s="45"/>
      <c r="BE65" s="45"/>
      <c r="BF65" s="45"/>
      <c r="BG65" s="49"/>
      <c r="BH65" s="45"/>
      <c r="BI65" s="49"/>
      <c r="BJ65" s="47" t="e">
        <f>([2]!Tabla1[[#This Row],[VALOR TOTAL CONTRATO + VF]]+[2]!Tabla1[[#This Row],[ADICION 1 ]]+[2]!Tabla1[[#This Row],[ADICION 2]]-[2]!Tabla1[[#This Row],[LIBERACION]])</f>
        <v>#REF!</v>
      </c>
      <c r="BK65" s="45"/>
      <c r="BL65" s="49"/>
      <c r="BM65" s="49"/>
      <c r="BN65" s="45"/>
      <c r="BO65" s="45"/>
      <c r="BP65" s="49"/>
      <c r="BQ65" s="45"/>
      <c r="BR65" s="47"/>
      <c r="BS65" s="49"/>
      <c r="BT65" s="45">
        <f>SUM(AY65+BK65+BN65+BQ65)</f>
        <v>302</v>
      </c>
      <c r="BU65" s="49"/>
      <c r="BV65" s="52"/>
    </row>
    <row r="66" spans="1:74" ht="15" customHeight="1" x14ac:dyDescent="0.25">
      <c r="A66" s="42" t="s">
        <v>459</v>
      </c>
      <c r="B66" s="43" t="s">
        <v>460</v>
      </c>
      <c r="C66" s="44" t="s">
        <v>54</v>
      </c>
      <c r="D66" s="45">
        <v>254</v>
      </c>
      <c r="E66" s="45" t="s">
        <v>767</v>
      </c>
      <c r="F66" s="45" t="s">
        <v>608</v>
      </c>
      <c r="G66" s="45" t="s">
        <v>609</v>
      </c>
      <c r="H66" s="45" t="s">
        <v>127</v>
      </c>
      <c r="I66" s="46">
        <v>44970</v>
      </c>
      <c r="J66" s="45" t="s">
        <v>59</v>
      </c>
      <c r="K66" s="45" t="s">
        <v>60</v>
      </c>
      <c r="L66" s="45" t="s">
        <v>610</v>
      </c>
      <c r="M66" s="45" t="s">
        <v>611</v>
      </c>
      <c r="N66" s="45" t="s">
        <v>612</v>
      </c>
      <c r="O66" s="45" t="s">
        <v>613</v>
      </c>
      <c r="P66" s="47">
        <v>75000000</v>
      </c>
      <c r="Q66" s="47">
        <v>75000000</v>
      </c>
      <c r="R66" s="45">
        <v>21623</v>
      </c>
      <c r="S66" s="45" t="s">
        <v>63</v>
      </c>
      <c r="T66" s="45" t="s">
        <v>64</v>
      </c>
      <c r="U66" s="45" t="s">
        <v>65</v>
      </c>
      <c r="V66" s="45"/>
      <c r="W66" s="45" t="s">
        <v>614</v>
      </c>
      <c r="X66" s="45" t="s">
        <v>127</v>
      </c>
      <c r="Y66" s="46">
        <v>44987</v>
      </c>
      <c r="Z66" s="45" t="s">
        <v>615</v>
      </c>
      <c r="AA66" s="45"/>
      <c r="AB66" s="45" t="s">
        <v>68</v>
      </c>
      <c r="AC66" s="45" t="s">
        <v>69</v>
      </c>
      <c r="AD66" s="45" t="s">
        <v>616</v>
      </c>
      <c r="AE66" s="45" t="s">
        <v>617</v>
      </c>
      <c r="AF66" s="45"/>
      <c r="AG66" s="45" t="s">
        <v>517</v>
      </c>
      <c r="AH66" s="45" t="s">
        <v>551</v>
      </c>
      <c r="AI66" s="45"/>
      <c r="AJ66" s="45"/>
      <c r="AK66" s="45"/>
      <c r="AL66" s="50" t="e">
        <f ca="1">+YEAR(TODAY())-YEAR([1]!Tabla1[[#This Row],[FECHA DE NACIMIENTO]])</f>
        <v>#REF!</v>
      </c>
      <c r="AM66" s="45">
        <v>44523</v>
      </c>
      <c r="AN66" s="46">
        <v>44987</v>
      </c>
      <c r="AO66" s="47">
        <v>75000000</v>
      </c>
      <c r="AP66" s="45"/>
      <c r="AQ66" s="45"/>
      <c r="AR66" s="45"/>
      <c r="AS66" s="51">
        <f t="shared" ref="AS66:AS71" si="3">SUM(AO66+AP66+AQ66+AR66)</f>
        <v>75000000</v>
      </c>
      <c r="AT66" s="45" t="s">
        <v>551</v>
      </c>
      <c r="AU66" s="46" t="s">
        <v>517</v>
      </c>
      <c r="AV66" s="52" t="s">
        <v>517</v>
      </c>
      <c r="AW66" s="46">
        <v>44987</v>
      </c>
      <c r="AX66" s="46">
        <v>45291</v>
      </c>
      <c r="AY66" s="44">
        <f t="shared" ref="AY66" si="4">(AX66-AW66)</f>
        <v>304</v>
      </c>
      <c r="AZ66" s="45" t="s">
        <v>618</v>
      </c>
      <c r="BA66" s="45">
        <v>51832657</v>
      </c>
      <c r="BB66" s="47"/>
      <c r="BC66" s="49"/>
      <c r="BD66" s="45"/>
      <c r="BE66" s="45"/>
      <c r="BF66" s="45"/>
      <c r="BG66" s="49"/>
      <c r="BH66" s="45"/>
      <c r="BI66" s="49"/>
      <c r="BJ66" s="47" t="e">
        <f>([1]!Tabla1[[#This Row],[VALOR TOTAL CONTRATO + VF]]+[1]!Tabla1[[#This Row],[ADICION 1 ]]+[1]!Tabla1[[#This Row],[ADICION 2]]-[1]!Tabla1[[#This Row],[LIBERACION]])</f>
        <v>#REF!</v>
      </c>
      <c r="BK66" s="45"/>
      <c r="BL66" s="49"/>
      <c r="BM66" s="49"/>
      <c r="BN66" s="45"/>
      <c r="BO66" s="45"/>
      <c r="BP66" s="49"/>
      <c r="BQ66" s="45"/>
      <c r="BR66" s="47"/>
      <c r="BS66" s="49"/>
      <c r="BT66" s="45">
        <f>SUM(AY66+BK66+BN66+BQ66)</f>
        <v>304</v>
      </c>
      <c r="BU66" s="49"/>
      <c r="BV66" s="52"/>
    </row>
    <row r="67" spans="1:74" ht="15" customHeight="1" x14ac:dyDescent="0.25">
      <c r="A67" s="42" t="s">
        <v>459</v>
      </c>
      <c r="B67" s="43" t="s">
        <v>649</v>
      </c>
      <c r="C67" s="44" t="s">
        <v>481</v>
      </c>
      <c r="D67" s="45">
        <v>223</v>
      </c>
      <c r="E67" s="45" t="s">
        <v>344</v>
      </c>
      <c r="F67" s="45" t="s">
        <v>650</v>
      </c>
      <c r="G67" s="45">
        <v>176316</v>
      </c>
      <c r="H67" s="45" t="s">
        <v>127</v>
      </c>
      <c r="I67" s="74">
        <v>44970</v>
      </c>
      <c r="J67" s="45" t="s">
        <v>1112</v>
      </c>
      <c r="K67" s="45" t="s">
        <v>1111</v>
      </c>
      <c r="L67" s="45" t="s">
        <v>652</v>
      </c>
      <c r="M67" s="45" t="s">
        <v>653</v>
      </c>
      <c r="N67" s="45" t="s">
        <v>654</v>
      </c>
      <c r="O67" s="48" t="s">
        <v>655</v>
      </c>
      <c r="P67" s="47">
        <v>44000000</v>
      </c>
      <c r="Q67" s="47">
        <v>44000000</v>
      </c>
      <c r="R67" s="45">
        <v>22423</v>
      </c>
      <c r="S67" s="45" t="s">
        <v>656</v>
      </c>
      <c r="T67" s="45" t="s">
        <v>64</v>
      </c>
      <c r="U67" s="45" t="s">
        <v>65</v>
      </c>
      <c r="V67" s="45"/>
      <c r="W67" s="45" t="s">
        <v>657</v>
      </c>
      <c r="X67" s="45" t="s">
        <v>127</v>
      </c>
      <c r="Y67" s="46">
        <v>44979</v>
      </c>
      <c r="Z67" s="45" t="s">
        <v>658</v>
      </c>
      <c r="AA67" s="45"/>
      <c r="AB67" s="45" t="s">
        <v>68</v>
      </c>
      <c r="AC67" s="45" t="s">
        <v>69</v>
      </c>
      <c r="AD67" s="45" t="s">
        <v>659</v>
      </c>
      <c r="AE67" s="45">
        <v>900155107</v>
      </c>
      <c r="AF67" s="45"/>
      <c r="AG67" s="45"/>
      <c r="AH67" s="45"/>
      <c r="AI67" s="45"/>
      <c r="AJ67" s="45"/>
      <c r="AK67" s="45"/>
      <c r="AL67" s="50">
        <v>123</v>
      </c>
      <c r="AM67" s="45">
        <v>41423</v>
      </c>
      <c r="AN67" s="49">
        <v>44980</v>
      </c>
      <c r="AO67" s="47">
        <v>43813500</v>
      </c>
      <c r="AP67" s="45"/>
      <c r="AQ67" s="45"/>
      <c r="AR67" s="45"/>
      <c r="AS67" s="51">
        <f t="shared" si="3"/>
        <v>43813500</v>
      </c>
      <c r="AT67" s="45" t="s">
        <v>551</v>
      </c>
      <c r="AU67" s="49" t="s">
        <v>517</v>
      </c>
      <c r="AV67" s="45" t="s">
        <v>517</v>
      </c>
      <c r="AW67" s="49">
        <v>44979</v>
      </c>
      <c r="AX67" s="49">
        <v>45036</v>
      </c>
      <c r="AY67" s="44">
        <v>57</v>
      </c>
      <c r="AZ67" s="45" t="s">
        <v>660</v>
      </c>
      <c r="BA67" s="45">
        <v>52665963</v>
      </c>
      <c r="BB67" s="47"/>
      <c r="BC67" s="49"/>
      <c r="BD67" s="45"/>
      <c r="BE67" s="45"/>
      <c r="BF67" s="45"/>
      <c r="BG67" s="49"/>
      <c r="BH67" s="45"/>
      <c r="BI67" s="49"/>
      <c r="BJ67" s="47">
        <v>43813500</v>
      </c>
      <c r="BK67" s="45"/>
      <c r="BL67" s="49"/>
      <c r="BM67" s="49"/>
      <c r="BN67" s="45"/>
      <c r="BO67" s="45"/>
      <c r="BP67" s="49"/>
      <c r="BQ67" s="45"/>
      <c r="BR67" s="47"/>
      <c r="BS67" s="49"/>
      <c r="BT67" s="45">
        <v>57</v>
      </c>
      <c r="BU67" s="49"/>
      <c r="BV67" s="52"/>
    </row>
    <row r="68" spans="1:74" ht="15" customHeight="1" x14ac:dyDescent="0.25">
      <c r="A68" s="42" t="s">
        <v>459</v>
      </c>
      <c r="B68" s="43" t="s">
        <v>678</v>
      </c>
      <c r="C68" s="44" t="s">
        <v>54</v>
      </c>
      <c r="D68" s="45">
        <v>67</v>
      </c>
      <c r="E68" s="45" t="s">
        <v>344</v>
      </c>
      <c r="F68" s="45" t="s">
        <v>679</v>
      </c>
      <c r="G68" s="45" t="s">
        <v>680</v>
      </c>
      <c r="H68" s="45" t="s">
        <v>127</v>
      </c>
      <c r="I68" s="74">
        <v>44971</v>
      </c>
      <c r="J68" s="45" t="s">
        <v>59</v>
      </c>
      <c r="K68" s="45" t="s">
        <v>60</v>
      </c>
      <c r="L68" s="45" t="s">
        <v>225</v>
      </c>
      <c r="M68" s="45" t="s">
        <v>681</v>
      </c>
      <c r="N68" s="45" t="s">
        <v>682</v>
      </c>
      <c r="O68" s="48" t="s">
        <v>683</v>
      </c>
      <c r="P68" s="47">
        <v>47250000</v>
      </c>
      <c r="Q68" s="47">
        <v>47250000</v>
      </c>
      <c r="R68" s="45">
        <v>20223</v>
      </c>
      <c r="S68" s="45" t="s">
        <v>89</v>
      </c>
      <c r="T68" s="45" t="s">
        <v>64</v>
      </c>
      <c r="U68" s="45" t="s">
        <v>65</v>
      </c>
      <c r="V68" s="45"/>
      <c r="W68" s="45" t="s">
        <v>684</v>
      </c>
      <c r="X68" s="45" t="s">
        <v>127</v>
      </c>
      <c r="Y68" s="46">
        <v>44971</v>
      </c>
      <c r="Z68" s="45" t="s">
        <v>67</v>
      </c>
      <c r="AA68" s="45"/>
      <c r="AB68" s="45" t="s">
        <v>68</v>
      </c>
      <c r="AC68" s="45" t="s">
        <v>69</v>
      </c>
      <c r="AD68" s="45" t="s">
        <v>685</v>
      </c>
      <c r="AE68" s="45">
        <v>1019071696</v>
      </c>
      <c r="AF68" s="45"/>
      <c r="AG68" s="45"/>
      <c r="AH68" s="45"/>
      <c r="AI68" s="45"/>
      <c r="AJ68" s="45"/>
      <c r="AK68" s="45"/>
      <c r="AL68" s="50">
        <v>123</v>
      </c>
      <c r="AM68" s="45">
        <v>37023</v>
      </c>
      <c r="AN68" s="49">
        <v>44971</v>
      </c>
      <c r="AO68" s="47">
        <v>47250000</v>
      </c>
      <c r="AP68" s="45"/>
      <c r="AQ68" s="45"/>
      <c r="AR68" s="45"/>
      <c r="AS68" s="51">
        <f t="shared" si="3"/>
        <v>47250000</v>
      </c>
      <c r="AT68" s="45" t="s">
        <v>297</v>
      </c>
      <c r="AU68" s="49">
        <v>44970</v>
      </c>
      <c r="AV68" s="45" t="s">
        <v>686</v>
      </c>
      <c r="AW68" s="49">
        <v>44971</v>
      </c>
      <c r="AX68" s="49">
        <v>45291</v>
      </c>
      <c r="AY68" s="44">
        <v>292</v>
      </c>
      <c r="AZ68" s="45" t="s">
        <v>92</v>
      </c>
      <c r="BA68" s="45">
        <v>19498970</v>
      </c>
      <c r="BB68" s="47"/>
      <c r="BC68" s="49"/>
      <c r="BD68" s="45"/>
      <c r="BE68" s="45"/>
      <c r="BF68" s="45"/>
      <c r="BG68" s="49"/>
      <c r="BH68" s="45"/>
      <c r="BI68" s="49"/>
      <c r="BJ68" s="47">
        <v>47250000</v>
      </c>
      <c r="BK68" s="45"/>
      <c r="BL68" s="49"/>
      <c r="BM68" s="49"/>
      <c r="BN68" s="45"/>
      <c r="BO68" s="45"/>
      <c r="BP68" s="49"/>
      <c r="BQ68" s="45"/>
      <c r="BR68" s="47"/>
      <c r="BS68" s="49"/>
      <c r="BT68" s="45">
        <v>292</v>
      </c>
      <c r="BU68" s="49"/>
      <c r="BV68" s="52"/>
    </row>
    <row r="69" spans="1:74" ht="15" customHeight="1" x14ac:dyDescent="0.25">
      <c r="A69" s="42" t="s">
        <v>459</v>
      </c>
      <c r="B69" s="43" t="s">
        <v>696</v>
      </c>
      <c r="C69" s="44" t="s">
        <v>54</v>
      </c>
      <c r="D69" s="45">
        <v>58</v>
      </c>
      <c r="E69" s="45" t="s">
        <v>344</v>
      </c>
      <c r="F69" s="45" t="s">
        <v>697</v>
      </c>
      <c r="G69" s="45" t="s">
        <v>698</v>
      </c>
      <c r="H69" s="45" t="s">
        <v>127</v>
      </c>
      <c r="I69" s="74">
        <v>44971</v>
      </c>
      <c r="J69" s="45" t="s">
        <v>59</v>
      </c>
      <c r="K69" s="45" t="s">
        <v>60</v>
      </c>
      <c r="L69" s="45" t="s">
        <v>225</v>
      </c>
      <c r="M69" s="45" t="s">
        <v>699</v>
      </c>
      <c r="N69" s="45" t="s">
        <v>700</v>
      </c>
      <c r="O69" s="48" t="s">
        <v>674</v>
      </c>
      <c r="P69" s="47">
        <v>105000000</v>
      </c>
      <c r="Q69" s="47">
        <v>105000000</v>
      </c>
      <c r="R69" s="45">
        <v>20123</v>
      </c>
      <c r="S69" s="45" t="s">
        <v>89</v>
      </c>
      <c r="T69" s="45" t="s">
        <v>64</v>
      </c>
      <c r="U69" s="45" t="s">
        <v>65</v>
      </c>
      <c r="V69" s="45"/>
      <c r="W69" s="45" t="s">
        <v>701</v>
      </c>
      <c r="X69" s="45" t="s">
        <v>127</v>
      </c>
      <c r="Y69" s="46">
        <v>44971</v>
      </c>
      <c r="Z69" s="45" t="s">
        <v>67</v>
      </c>
      <c r="AA69" s="45"/>
      <c r="AB69" s="45" t="s">
        <v>68</v>
      </c>
      <c r="AC69" s="45" t="s">
        <v>69</v>
      </c>
      <c r="AD69" s="45" t="s">
        <v>702</v>
      </c>
      <c r="AE69" s="45">
        <v>80413656</v>
      </c>
      <c r="AF69" s="45"/>
      <c r="AG69" s="45"/>
      <c r="AH69" s="45"/>
      <c r="AI69" s="45"/>
      <c r="AJ69" s="45"/>
      <c r="AK69" s="45"/>
      <c r="AL69" s="50">
        <v>123</v>
      </c>
      <c r="AM69" s="45">
        <v>37123</v>
      </c>
      <c r="AN69" s="49">
        <v>44971</v>
      </c>
      <c r="AO69" s="47">
        <v>105000000</v>
      </c>
      <c r="AP69" s="45"/>
      <c r="AQ69" s="45"/>
      <c r="AR69" s="45"/>
      <c r="AS69" s="51">
        <f t="shared" si="3"/>
        <v>105000000</v>
      </c>
      <c r="AT69" s="45" t="s">
        <v>297</v>
      </c>
      <c r="AU69" s="49">
        <v>44970</v>
      </c>
      <c r="AV69" s="52" t="s">
        <v>703</v>
      </c>
      <c r="AW69" s="49">
        <v>44971</v>
      </c>
      <c r="AX69" s="49">
        <v>45291</v>
      </c>
      <c r="AY69" s="44">
        <v>292</v>
      </c>
      <c r="AZ69" s="45" t="s">
        <v>92</v>
      </c>
      <c r="BA69" s="45">
        <v>19498970</v>
      </c>
      <c r="BB69" s="47"/>
      <c r="BC69" s="49"/>
      <c r="BD69" s="45"/>
      <c r="BE69" s="45"/>
      <c r="BF69" s="45"/>
      <c r="BG69" s="49"/>
      <c r="BH69" s="45"/>
      <c r="BI69" s="49"/>
      <c r="BJ69" s="47">
        <v>105000000</v>
      </c>
      <c r="BK69" s="45"/>
      <c r="BL69" s="49"/>
      <c r="BM69" s="49"/>
      <c r="BN69" s="45"/>
      <c r="BO69" s="45"/>
      <c r="BP69" s="49"/>
      <c r="BQ69" s="45"/>
      <c r="BR69" s="47"/>
      <c r="BS69" s="49"/>
      <c r="BT69" s="45">
        <v>292</v>
      </c>
      <c r="BU69" s="49"/>
      <c r="BV69" s="52"/>
    </row>
    <row r="70" spans="1:74" ht="14.25" customHeight="1" x14ac:dyDescent="0.25">
      <c r="A70" s="42" t="s">
        <v>459</v>
      </c>
      <c r="B70" s="43" t="s">
        <v>661</v>
      </c>
      <c r="C70" s="44" t="s">
        <v>54</v>
      </c>
      <c r="D70" s="45">
        <v>272</v>
      </c>
      <c r="E70" s="45" t="s">
        <v>344</v>
      </c>
      <c r="F70" s="45" t="s">
        <v>662</v>
      </c>
      <c r="G70" s="45" t="s">
        <v>663</v>
      </c>
      <c r="H70" s="45" t="s">
        <v>127</v>
      </c>
      <c r="I70" s="74">
        <v>44972</v>
      </c>
      <c r="J70" s="45" t="s">
        <v>59</v>
      </c>
      <c r="K70" s="45" t="s">
        <v>60</v>
      </c>
      <c r="L70" s="45" t="s">
        <v>136</v>
      </c>
      <c r="M70" s="45" t="s">
        <v>664</v>
      </c>
      <c r="N70" s="45">
        <v>80111607</v>
      </c>
      <c r="O70" s="48" t="s">
        <v>665</v>
      </c>
      <c r="P70" s="47">
        <v>105000000</v>
      </c>
      <c r="Q70" s="47">
        <v>105000000</v>
      </c>
      <c r="R70" s="45">
        <v>20923</v>
      </c>
      <c r="S70" s="45" t="s">
        <v>89</v>
      </c>
      <c r="T70" s="45" t="s">
        <v>64</v>
      </c>
      <c r="U70" s="45" t="s">
        <v>65</v>
      </c>
      <c r="V70" s="45"/>
      <c r="W70" s="45" t="s">
        <v>666</v>
      </c>
      <c r="X70" s="45" t="s">
        <v>127</v>
      </c>
      <c r="Y70" s="46">
        <v>44973</v>
      </c>
      <c r="Z70" s="45" t="s">
        <v>67</v>
      </c>
      <c r="AA70" s="45"/>
      <c r="AB70" s="45" t="s">
        <v>68</v>
      </c>
      <c r="AC70" s="45" t="s">
        <v>69</v>
      </c>
      <c r="AD70" s="45" t="s">
        <v>667</v>
      </c>
      <c r="AE70" s="45">
        <v>2231695</v>
      </c>
      <c r="AF70" s="45"/>
      <c r="AG70" s="45"/>
      <c r="AH70" s="45"/>
      <c r="AI70" s="45"/>
      <c r="AJ70" s="45"/>
      <c r="AK70" s="45"/>
      <c r="AL70" s="50">
        <v>123</v>
      </c>
      <c r="AM70" s="45">
        <v>37623</v>
      </c>
      <c r="AN70" s="49">
        <v>44981</v>
      </c>
      <c r="AO70" s="47">
        <v>105000000</v>
      </c>
      <c r="AP70" s="45"/>
      <c r="AQ70" s="45"/>
      <c r="AR70" s="45"/>
      <c r="AS70" s="51">
        <f t="shared" si="3"/>
        <v>105000000</v>
      </c>
      <c r="AT70" s="45" t="s">
        <v>297</v>
      </c>
      <c r="AU70" s="49">
        <v>44973</v>
      </c>
      <c r="AV70" s="45" t="s">
        <v>74</v>
      </c>
      <c r="AW70" s="49">
        <v>44972</v>
      </c>
      <c r="AX70" s="49">
        <v>45291</v>
      </c>
      <c r="AY70" s="44">
        <v>319</v>
      </c>
      <c r="AZ70" s="45" t="s">
        <v>668</v>
      </c>
      <c r="BA70" s="45">
        <v>52619262</v>
      </c>
      <c r="BB70" s="47"/>
      <c r="BC70" s="49"/>
      <c r="BD70" s="45"/>
      <c r="BE70" s="45"/>
      <c r="BF70" s="45"/>
      <c r="BG70" s="49"/>
      <c r="BH70" s="45"/>
      <c r="BI70" s="49"/>
      <c r="BJ70" s="47">
        <v>105000000</v>
      </c>
      <c r="BK70" s="45"/>
      <c r="BL70" s="49"/>
      <c r="BM70" s="49"/>
      <c r="BN70" s="45"/>
      <c r="BO70" s="45"/>
      <c r="BP70" s="49"/>
      <c r="BQ70" s="45"/>
      <c r="BR70" s="47"/>
      <c r="BS70" s="49"/>
      <c r="BT70" s="45">
        <v>319</v>
      </c>
      <c r="BU70" s="49"/>
      <c r="BV70" s="52"/>
    </row>
    <row r="71" spans="1:74" ht="15" customHeight="1" x14ac:dyDescent="0.25">
      <c r="A71" s="42" t="s">
        <v>459</v>
      </c>
      <c r="B71" s="43" t="s">
        <v>713</v>
      </c>
      <c r="C71" s="44" t="s">
        <v>54</v>
      </c>
      <c r="D71" s="45">
        <v>59</v>
      </c>
      <c r="E71" s="45" t="s">
        <v>344</v>
      </c>
      <c r="F71" s="73" t="s">
        <v>714</v>
      </c>
      <c r="G71" s="45" t="s">
        <v>715</v>
      </c>
      <c r="H71" s="45" t="s">
        <v>127</v>
      </c>
      <c r="I71" s="74">
        <v>44972</v>
      </c>
      <c r="J71" s="45" t="s">
        <v>59</v>
      </c>
      <c r="K71" s="45" t="s">
        <v>60</v>
      </c>
      <c r="L71" s="45" t="s">
        <v>225</v>
      </c>
      <c r="M71" s="73" t="s">
        <v>716</v>
      </c>
      <c r="N71" s="45">
        <v>811115</v>
      </c>
      <c r="O71" s="48" t="s">
        <v>717</v>
      </c>
      <c r="P71" s="47">
        <v>105000000</v>
      </c>
      <c r="Q71" s="47">
        <v>105000000</v>
      </c>
      <c r="R71" s="45">
        <v>20423</v>
      </c>
      <c r="S71" s="45" t="s">
        <v>89</v>
      </c>
      <c r="T71" s="45" t="s">
        <v>64</v>
      </c>
      <c r="U71" s="45" t="s">
        <v>65</v>
      </c>
      <c r="V71" s="45"/>
      <c r="W71" s="45" t="s">
        <v>718</v>
      </c>
      <c r="X71" s="45" t="s">
        <v>127</v>
      </c>
      <c r="Y71" s="46">
        <v>44972</v>
      </c>
      <c r="Z71" s="45" t="s">
        <v>67</v>
      </c>
      <c r="AA71" s="45"/>
      <c r="AB71" s="45" t="s">
        <v>68</v>
      </c>
      <c r="AC71" s="45" t="s">
        <v>69</v>
      </c>
      <c r="AD71" s="45" t="s">
        <v>719</v>
      </c>
      <c r="AE71" s="45">
        <v>86039854</v>
      </c>
      <c r="AF71" s="45"/>
      <c r="AG71" s="45"/>
      <c r="AH71" s="45"/>
      <c r="AI71" s="45"/>
      <c r="AJ71" s="45"/>
      <c r="AK71" s="45"/>
      <c r="AL71" s="50">
        <v>123</v>
      </c>
      <c r="AM71" s="45">
        <v>38123</v>
      </c>
      <c r="AN71" s="49">
        <v>44972</v>
      </c>
      <c r="AO71" s="47">
        <v>105000000</v>
      </c>
      <c r="AP71" s="45"/>
      <c r="AQ71" s="45"/>
      <c r="AR71" s="45"/>
      <c r="AS71" s="51">
        <f t="shared" si="3"/>
        <v>105000000</v>
      </c>
      <c r="AT71" s="45" t="s">
        <v>297</v>
      </c>
      <c r="AU71" s="49">
        <v>44977</v>
      </c>
      <c r="AV71" s="45" t="s">
        <v>720</v>
      </c>
      <c r="AW71" s="49">
        <v>44972</v>
      </c>
      <c r="AX71" s="49">
        <v>45291</v>
      </c>
      <c r="AY71" s="45">
        <v>319</v>
      </c>
      <c r="AZ71" s="45" t="s">
        <v>92</v>
      </c>
      <c r="BA71" s="45">
        <v>19498970</v>
      </c>
      <c r="BB71" s="47"/>
      <c r="BC71" s="49"/>
      <c r="BD71" s="45"/>
      <c r="BE71" s="45"/>
      <c r="BF71" s="45"/>
      <c r="BG71" s="49"/>
      <c r="BH71" s="45"/>
      <c r="BI71" s="49"/>
      <c r="BJ71" s="47">
        <v>105000000</v>
      </c>
      <c r="BK71" s="45"/>
      <c r="BL71" s="49"/>
      <c r="BM71" s="49"/>
      <c r="BN71" s="45"/>
      <c r="BO71" s="45"/>
      <c r="BP71" s="49"/>
      <c r="BQ71" s="45"/>
      <c r="BR71" s="47"/>
      <c r="BS71" s="49"/>
      <c r="BT71" s="45">
        <v>319</v>
      </c>
      <c r="BU71" s="49"/>
      <c r="BV71" s="52"/>
    </row>
    <row r="72" spans="1:74" ht="15" customHeight="1" x14ac:dyDescent="0.25">
      <c r="A72" s="42" t="s">
        <v>459</v>
      </c>
      <c r="B72" s="43" t="s">
        <v>460</v>
      </c>
      <c r="C72" s="44" t="s">
        <v>54</v>
      </c>
      <c r="D72" s="45">
        <v>210</v>
      </c>
      <c r="E72" s="45" t="s">
        <v>221</v>
      </c>
      <c r="F72" s="73" t="s">
        <v>559</v>
      </c>
      <c r="G72" s="45" t="s">
        <v>560</v>
      </c>
      <c r="H72" s="45" t="s">
        <v>127</v>
      </c>
      <c r="I72" s="74">
        <v>44972</v>
      </c>
      <c r="J72" s="45" t="s">
        <v>59</v>
      </c>
      <c r="K72" s="45" t="s">
        <v>60</v>
      </c>
      <c r="L72" s="45" t="s">
        <v>61</v>
      </c>
      <c r="M72" s="73" t="s">
        <v>561</v>
      </c>
      <c r="N72" s="45" t="s">
        <v>168</v>
      </c>
      <c r="O72" s="48" t="s">
        <v>169</v>
      </c>
      <c r="P72" s="47">
        <v>63000000</v>
      </c>
      <c r="Q72" s="47">
        <v>63000000</v>
      </c>
      <c r="R72" s="45">
        <v>21223</v>
      </c>
      <c r="S72" s="45" t="s">
        <v>309</v>
      </c>
      <c r="T72" s="45" t="s">
        <v>64</v>
      </c>
      <c r="U72" s="45" t="s">
        <v>65</v>
      </c>
      <c r="V72" s="45"/>
      <c r="W72" s="45" t="s">
        <v>562</v>
      </c>
      <c r="X72" s="45" t="s">
        <v>127</v>
      </c>
      <c r="Y72" s="46">
        <v>44977</v>
      </c>
      <c r="Z72" s="45" t="s">
        <v>60</v>
      </c>
      <c r="AA72" s="45"/>
      <c r="AB72" s="45" t="s">
        <v>68</v>
      </c>
      <c r="AC72" s="45" t="s">
        <v>69</v>
      </c>
      <c r="AD72" s="45" t="s">
        <v>563</v>
      </c>
      <c r="AE72" s="45">
        <v>75066578</v>
      </c>
      <c r="AF72" s="45" t="s">
        <v>141</v>
      </c>
      <c r="AG72" s="45" t="s">
        <v>564</v>
      </c>
      <c r="AH72" s="45" t="s">
        <v>551</v>
      </c>
      <c r="AI72" s="45" t="s">
        <v>467</v>
      </c>
      <c r="AJ72" s="45" t="s">
        <v>517</v>
      </c>
      <c r="AK72" s="45">
        <v>26367</v>
      </c>
      <c r="AL72" s="50" t="e">
        <f ca="1">+YEAR(TODAY())-YEAR([2]!Tabla1[[#This Row],[FECHA DE NACIMIENTO]])</f>
        <v>#REF!</v>
      </c>
      <c r="AM72" s="45">
        <v>39023</v>
      </c>
      <c r="AN72" s="49"/>
      <c r="AO72" s="47">
        <v>63000000</v>
      </c>
      <c r="AP72" s="45"/>
      <c r="AQ72" s="45"/>
      <c r="AR72" s="45"/>
      <c r="AS72" s="75">
        <v>63000000</v>
      </c>
      <c r="AT72" s="45" t="s">
        <v>75</v>
      </c>
      <c r="AU72" s="49">
        <v>44974</v>
      </c>
      <c r="AV72" s="45" t="s">
        <v>74</v>
      </c>
      <c r="AW72" s="49">
        <v>44977</v>
      </c>
      <c r="AX72" s="49">
        <v>45291</v>
      </c>
      <c r="AY72" s="45">
        <f>(AX72-AW72)</f>
        <v>314</v>
      </c>
      <c r="AZ72" s="45" t="s">
        <v>558</v>
      </c>
      <c r="BA72" s="45">
        <v>79994053</v>
      </c>
      <c r="BB72" s="47"/>
      <c r="BC72" s="49"/>
      <c r="BD72" s="45"/>
      <c r="BE72" s="45"/>
      <c r="BF72" s="45"/>
      <c r="BG72" s="49"/>
      <c r="BH72" s="45"/>
      <c r="BI72" s="49"/>
      <c r="BJ72" s="47" t="e">
        <f>([2]!Tabla1[[#This Row],[VALOR TOTAL CONTRATO + VF]]+[2]!Tabla1[[#This Row],[ADICION 1 ]]+[2]!Tabla1[[#This Row],[ADICION 2]]-[2]!Tabla1[[#This Row],[LIBERACION]])</f>
        <v>#REF!</v>
      </c>
      <c r="BK72" s="45"/>
      <c r="BL72" s="49"/>
      <c r="BM72" s="49"/>
      <c r="BN72" s="45"/>
      <c r="BO72" s="45"/>
      <c r="BP72" s="49"/>
      <c r="BQ72" s="45"/>
      <c r="BR72" s="47"/>
      <c r="BS72" s="49"/>
      <c r="BT72" s="45">
        <f>SUM(AY72+BK72+BN72+BQ72)</f>
        <v>314</v>
      </c>
      <c r="BU72" s="49"/>
      <c r="BV72" s="52"/>
    </row>
    <row r="73" spans="1:74" ht="15" customHeight="1" x14ac:dyDescent="0.25">
      <c r="A73" s="42" t="s">
        <v>459</v>
      </c>
      <c r="B73" s="43" t="s">
        <v>460</v>
      </c>
      <c r="C73" s="44" t="s">
        <v>54</v>
      </c>
      <c r="D73" s="48">
        <v>63</v>
      </c>
      <c r="E73" s="45" t="s">
        <v>221</v>
      </c>
      <c r="F73" s="48" t="s">
        <v>527</v>
      </c>
      <c r="G73" s="45" t="s">
        <v>528</v>
      </c>
      <c r="H73" s="45" t="s">
        <v>127</v>
      </c>
      <c r="I73" s="74">
        <v>44973</v>
      </c>
      <c r="J73" s="48" t="s">
        <v>59</v>
      </c>
      <c r="K73" s="48" t="s">
        <v>330</v>
      </c>
      <c r="L73" s="45" t="s">
        <v>86</v>
      </c>
      <c r="M73" s="45" t="s">
        <v>529</v>
      </c>
      <c r="N73" s="45" t="s">
        <v>530</v>
      </c>
      <c r="O73" s="45" t="s">
        <v>531</v>
      </c>
      <c r="P73" s="56">
        <v>1038000000</v>
      </c>
      <c r="Q73" s="56">
        <v>1037971678</v>
      </c>
      <c r="R73" s="45">
        <v>21723</v>
      </c>
      <c r="S73" s="45" t="s">
        <v>89</v>
      </c>
      <c r="T73" s="45" t="s">
        <v>64</v>
      </c>
      <c r="U73" s="45" t="s">
        <v>65</v>
      </c>
      <c r="V73" s="45"/>
      <c r="W73" s="45" t="s">
        <v>898</v>
      </c>
      <c r="X73" s="45" t="s">
        <v>771</v>
      </c>
      <c r="Y73" s="74">
        <v>44988</v>
      </c>
      <c r="Z73" s="45" t="s">
        <v>863</v>
      </c>
      <c r="AA73" s="45"/>
      <c r="AB73" s="45" t="s">
        <v>68</v>
      </c>
      <c r="AC73" s="45" t="s">
        <v>69</v>
      </c>
      <c r="AD73" s="45" t="s">
        <v>899</v>
      </c>
      <c r="AE73" s="45">
        <v>830079892</v>
      </c>
      <c r="AF73" s="45">
        <v>4</v>
      </c>
      <c r="AG73" s="48" t="s">
        <v>517</v>
      </c>
      <c r="AH73" s="45" t="s">
        <v>551</v>
      </c>
      <c r="AI73" s="45" t="s">
        <v>467</v>
      </c>
      <c r="AJ73" s="45" t="s">
        <v>886</v>
      </c>
      <c r="AK73" s="50" t="s">
        <v>517</v>
      </c>
      <c r="AL73" s="50" t="s">
        <v>517</v>
      </c>
      <c r="AM73" s="45">
        <v>44923</v>
      </c>
      <c r="AN73" s="74">
        <v>44988</v>
      </c>
      <c r="AO73" s="47">
        <v>1037971678</v>
      </c>
      <c r="AP73" s="45"/>
      <c r="AQ73" s="45"/>
      <c r="AR73" s="45"/>
      <c r="AS73" s="47">
        <v>1037971678</v>
      </c>
      <c r="AT73" s="45" t="s">
        <v>75</v>
      </c>
      <c r="AU73" s="74">
        <v>44995</v>
      </c>
      <c r="AV73" s="45" t="s">
        <v>900</v>
      </c>
      <c r="AW73" s="74">
        <v>44995</v>
      </c>
      <c r="AX73" s="74">
        <v>45087</v>
      </c>
      <c r="AY73" s="45">
        <f>(AX73-AW73)</f>
        <v>92</v>
      </c>
      <c r="AZ73" s="45" t="s">
        <v>92</v>
      </c>
      <c r="BA73" s="45">
        <v>19498970</v>
      </c>
      <c r="BB73" s="47"/>
      <c r="BC73" s="49"/>
      <c r="BD73" s="45"/>
      <c r="BE73" s="45"/>
      <c r="BF73" s="45"/>
      <c r="BG73" s="49"/>
      <c r="BH73" s="45"/>
      <c r="BI73" s="49"/>
      <c r="BJ73" s="47" t="e">
        <f>([3]!Tabla1[[#This Row],[VALOR TOTAL CONTRATO + VF]]+[3]!Tabla1[[#This Row],[ADICION 1 ]]+[3]!Tabla1[[#This Row],[ADICION 2]]-[3]!Tabla1[[#This Row],[LIBERACION]])</f>
        <v>#REF!</v>
      </c>
      <c r="BK73" s="45"/>
      <c r="BL73" s="49"/>
      <c r="BM73" s="49"/>
      <c r="BN73" s="45"/>
      <c r="BO73" s="45"/>
      <c r="BP73" s="49"/>
      <c r="BQ73" s="45"/>
      <c r="BR73" s="47"/>
      <c r="BS73" s="49"/>
      <c r="BT73" s="45">
        <f>SUM(AY73+BK73+BN73+BQ73)</f>
        <v>92</v>
      </c>
      <c r="BU73" s="49"/>
      <c r="BV73" s="52"/>
    </row>
    <row r="74" spans="1:74" ht="15" customHeight="1" x14ac:dyDescent="0.25">
      <c r="A74" s="42" t="s">
        <v>459</v>
      </c>
      <c r="B74" s="43" t="s">
        <v>460</v>
      </c>
      <c r="C74" s="44" t="s">
        <v>54</v>
      </c>
      <c r="D74" s="45">
        <v>238</v>
      </c>
      <c r="E74" s="45" t="s">
        <v>221</v>
      </c>
      <c r="F74" s="73" t="s">
        <v>579</v>
      </c>
      <c r="G74" s="45" t="s">
        <v>580</v>
      </c>
      <c r="H74" s="45" t="s">
        <v>127</v>
      </c>
      <c r="I74" s="74">
        <v>44973</v>
      </c>
      <c r="J74" s="45" t="s">
        <v>59</v>
      </c>
      <c r="K74" s="45" t="s">
        <v>60</v>
      </c>
      <c r="L74" s="45" t="s">
        <v>334</v>
      </c>
      <c r="M74" s="73" t="s">
        <v>335</v>
      </c>
      <c r="N74" s="45" t="s">
        <v>581</v>
      </c>
      <c r="O74" s="48" t="s">
        <v>578</v>
      </c>
      <c r="P74" s="47">
        <v>90000000</v>
      </c>
      <c r="Q74" s="47">
        <v>90000000</v>
      </c>
      <c r="R74" s="45">
        <v>19823</v>
      </c>
      <c r="S74" s="45" t="s">
        <v>89</v>
      </c>
      <c r="T74" s="45" t="s">
        <v>64</v>
      </c>
      <c r="U74" s="45" t="s">
        <v>65</v>
      </c>
      <c r="V74" s="45"/>
      <c r="W74" s="45" t="s">
        <v>582</v>
      </c>
      <c r="X74" s="45" t="s">
        <v>127</v>
      </c>
      <c r="Y74" s="46">
        <v>44977</v>
      </c>
      <c r="Z74" s="45" t="s">
        <v>60</v>
      </c>
      <c r="AA74" s="45"/>
      <c r="AB74" s="45" t="s">
        <v>68</v>
      </c>
      <c r="AC74" s="45" t="s">
        <v>69</v>
      </c>
      <c r="AD74" s="45" t="s">
        <v>583</v>
      </c>
      <c r="AE74" s="45">
        <v>51967613</v>
      </c>
      <c r="AF74" s="45" t="s">
        <v>141</v>
      </c>
      <c r="AG74" s="45" t="s">
        <v>550</v>
      </c>
      <c r="AH74" s="45" t="s">
        <v>551</v>
      </c>
      <c r="AI74" s="45" t="s">
        <v>467</v>
      </c>
      <c r="AJ74" s="45" t="s">
        <v>517</v>
      </c>
      <c r="AK74" s="45">
        <v>25348</v>
      </c>
      <c r="AL74" s="50" t="e">
        <f ca="1">+YEAR(TODAY())-YEAR([2]!Tabla1[[#This Row],[FECHA DE NACIMIENTO]])</f>
        <v>#REF!</v>
      </c>
      <c r="AM74" s="45">
        <v>40123</v>
      </c>
      <c r="AN74" s="49">
        <v>44977</v>
      </c>
      <c r="AO74" s="47">
        <v>90000000</v>
      </c>
      <c r="AP74" s="45"/>
      <c r="AQ74" s="45"/>
      <c r="AR74" s="45"/>
      <c r="AS74" s="75">
        <v>90000000</v>
      </c>
      <c r="AT74" s="45" t="s">
        <v>75</v>
      </c>
      <c r="AU74" s="49">
        <v>44977</v>
      </c>
      <c r="AV74" s="45" t="s">
        <v>74</v>
      </c>
      <c r="AW74" s="49">
        <v>44977</v>
      </c>
      <c r="AX74" s="49">
        <v>45280</v>
      </c>
      <c r="AY74" s="45">
        <f>(AX74-AW74)</f>
        <v>303</v>
      </c>
      <c r="AZ74" s="45" t="s">
        <v>124</v>
      </c>
      <c r="BA74" s="45">
        <v>1010181437</v>
      </c>
      <c r="BB74" s="47"/>
      <c r="BC74" s="49"/>
      <c r="BD74" s="45"/>
      <c r="BE74" s="45"/>
      <c r="BF74" s="45"/>
      <c r="BG74" s="49"/>
      <c r="BH74" s="45"/>
      <c r="BI74" s="49"/>
      <c r="BJ74" s="47" t="e">
        <f>([2]!Tabla1[[#This Row],[VALOR TOTAL CONTRATO + VF]]+[2]!Tabla1[[#This Row],[ADICION 1 ]]+[2]!Tabla1[[#This Row],[ADICION 2]]-[2]!Tabla1[[#This Row],[LIBERACION]])</f>
        <v>#REF!</v>
      </c>
      <c r="BK74" s="45"/>
      <c r="BL74" s="49"/>
      <c r="BM74" s="49"/>
      <c r="BN74" s="45"/>
      <c r="BO74" s="45"/>
      <c r="BP74" s="49"/>
      <c r="BQ74" s="45"/>
      <c r="BR74" s="47"/>
      <c r="BS74" s="49"/>
      <c r="BT74" s="45">
        <f>SUM(AY74+BK74+BN74+BQ74)</f>
        <v>303</v>
      </c>
      <c r="BU74" s="49"/>
      <c r="BV74" s="52"/>
    </row>
    <row r="75" spans="1:74" s="3" customFormat="1" ht="15" customHeight="1" x14ac:dyDescent="0.25">
      <c r="A75" s="14" t="s">
        <v>459</v>
      </c>
      <c r="B75" s="4" t="s">
        <v>460</v>
      </c>
      <c r="C75" s="7" t="s">
        <v>481</v>
      </c>
      <c r="D75" s="3">
        <v>97</v>
      </c>
      <c r="E75" s="3" t="s">
        <v>55</v>
      </c>
      <c r="F75" s="13" t="s">
        <v>601</v>
      </c>
      <c r="G75" s="3">
        <v>144547</v>
      </c>
      <c r="H75" s="3" t="s">
        <v>127</v>
      </c>
      <c r="I75" s="23">
        <v>44974</v>
      </c>
      <c r="J75" s="3" t="s">
        <v>492</v>
      </c>
      <c r="K75" s="3" t="s">
        <v>508</v>
      </c>
      <c r="L75" s="3" t="s">
        <v>225</v>
      </c>
      <c r="M75" s="13" t="s">
        <v>509</v>
      </c>
      <c r="N75" s="3">
        <v>81112100</v>
      </c>
      <c r="O75" s="1" t="s">
        <v>88</v>
      </c>
      <c r="P75" s="8">
        <v>2200000</v>
      </c>
      <c r="Q75" s="8">
        <v>2200000</v>
      </c>
      <c r="R75" s="3">
        <v>22523</v>
      </c>
      <c r="S75" s="3" t="s">
        <v>89</v>
      </c>
      <c r="T75" s="234" t="s">
        <v>64</v>
      </c>
      <c r="U75" s="3" t="s">
        <v>65</v>
      </c>
      <c r="V75" s="235"/>
      <c r="W75" s="3" t="s">
        <v>817</v>
      </c>
      <c r="X75" s="3" t="s">
        <v>771</v>
      </c>
      <c r="Y75" s="23">
        <v>44991</v>
      </c>
      <c r="Z75" s="3" t="s">
        <v>818</v>
      </c>
      <c r="AB75" s="3" t="s">
        <v>68</v>
      </c>
      <c r="AC75" s="3" t="s">
        <v>69</v>
      </c>
      <c r="AD75" s="3" t="s">
        <v>819</v>
      </c>
      <c r="AE75" s="3">
        <v>830077380</v>
      </c>
      <c r="AF75" s="3">
        <v>6</v>
      </c>
      <c r="AL75" s="10" t="e">
        <f ca="1">+YEAR(TODAY())-YEAR([8]!Tabla1[[#This Row],[FECHA DE NACIMIENTO]])</f>
        <v>#REF!</v>
      </c>
      <c r="AM75" s="3">
        <v>46823</v>
      </c>
      <c r="AN75" s="23">
        <v>44965</v>
      </c>
      <c r="AO75" s="8">
        <v>1468821137.8</v>
      </c>
      <c r="AS75" s="11">
        <v>1468821137.8</v>
      </c>
      <c r="AT75" s="3" t="s">
        <v>75</v>
      </c>
      <c r="AU75" s="23">
        <v>44993</v>
      </c>
      <c r="AV75" s="12" t="s">
        <v>74</v>
      </c>
      <c r="AW75" s="23">
        <v>44993</v>
      </c>
      <c r="AX75" s="23">
        <v>45291</v>
      </c>
      <c r="AY75" s="7">
        <f>(AX75-AW75)</f>
        <v>298</v>
      </c>
      <c r="AZ75" s="3" t="s">
        <v>92</v>
      </c>
      <c r="BA75" s="3">
        <v>19498970</v>
      </c>
      <c r="BB75" s="8"/>
      <c r="BC75" s="9"/>
      <c r="BG75" s="9"/>
      <c r="BI75" s="9"/>
      <c r="BJ75" s="8"/>
      <c r="BL75" s="9"/>
      <c r="BM75" s="9"/>
      <c r="BP75" s="9"/>
      <c r="BR75" s="8"/>
      <c r="BS75" s="9"/>
      <c r="BU75" s="9"/>
      <c r="BV75" s="12"/>
    </row>
    <row r="76" spans="1:74" ht="15" customHeight="1" x14ac:dyDescent="0.25">
      <c r="A76" s="42" t="s">
        <v>459</v>
      </c>
      <c r="B76" s="43" t="s">
        <v>721</v>
      </c>
      <c r="C76" s="44" t="s">
        <v>54</v>
      </c>
      <c r="D76" s="45">
        <v>66</v>
      </c>
      <c r="E76" s="45" t="s">
        <v>344</v>
      </c>
      <c r="F76" s="73" t="s">
        <v>722</v>
      </c>
      <c r="G76" s="45" t="s">
        <v>723</v>
      </c>
      <c r="H76" s="45" t="s">
        <v>127</v>
      </c>
      <c r="I76" s="74">
        <v>44977</v>
      </c>
      <c r="J76" s="45" t="s">
        <v>59</v>
      </c>
      <c r="K76" s="45" t="s">
        <v>60</v>
      </c>
      <c r="L76" s="45" t="s">
        <v>225</v>
      </c>
      <c r="M76" s="73" t="s">
        <v>724</v>
      </c>
      <c r="N76" s="45" t="s">
        <v>682</v>
      </c>
      <c r="O76" s="48" t="s">
        <v>683</v>
      </c>
      <c r="P76" s="47">
        <v>105000000</v>
      </c>
      <c r="Q76" s="47">
        <v>105000000</v>
      </c>
      <c r="R76" s="45">
        <v>20323</v>
      </c>
      <c r="S76" s="45" t="s">
        <v>89</v>
      </c>
      <c r="T76" s="45" t="s">
        <v>64</v>
      </c>
      <c r="U76" s="45" t="s">
        <v>65</v>
      </c>
      <c r="V76" s="45"/>
      <c r="W76" s="45" t="s">
        <v>725</v>
      </c>
      <c r="X76" s="45" t="s">
        <v>127</v>
      </c>
      <c r="Y76" s="46">
        <v>44977</v>
      </c>
      <c r="Z76" s="45" t="s">
        <v>67</v>
      </c>
      <c r="AA76" s="45"/>
      <c r="AB76" s="45" t="s">
        <v>68</v>
      </c>
      <c r="AC76" s="45" t="s">
        <v>69</v>
      </c>
      <c r="AD76" s="45" t="s">
        <v>726</v>
      </c>
      <c r="AE76" s="45">
        <v>79694066</v>
      </c>
      <c r="AF76" s="45"/>
      <c r="AG76" s="45"/>
      <c r="AH76" s="45"/>
      <c r="AI76" s="45"/>
      <c r="AJ76" s="45"/>
      <c r="AK76" s="45"/>
      <c r="AL76" s="50">
        <v>123</v>
      </c>
      <c r="AM76" s="45">
        <v>40323</v>
      </c>
      <c r="AN76" s="49">
        <v>44977</v>
      </c>
      <c r="AO76" s="47">
        <v>105000000</v>
      </c>
      <c r="AP76" s="45"/>
      <c r="AQ76" s="45"/>
      <c r="AR76" s="45"/>
      <c r="AS76" s="51">
        <f>SUM(AO76+AP76+AQ76+AR76)</f>
        <v>105000000</v>
      </c>
      <c r="AT76" s="45" t="s">
        <v>297</v>
      </c>
      <c r="AU76" s="49">
        <v>44985</v>
      </c>
      <c r="AV76" s="45" t="s">
        <v>727</v>
      </c>
      <c r="AW76" s="49">
        <v>44977</v>
      </c>
      <c r="AX76" s="49">
        <v>45291</v>
      </c>
      <c r="AY76" s="45">
        <v>314</v>
      </c>
      <c r="AZ76" s="45" t="s">
        <v>92</v>
      </c>
      <c r="BA76" s="45">
        <v>19498970</v>
      </c>
      <c r="BB76" s="47"/>
      <c r="BC76" s="49"/>
      <c r="BD76" s="45"/>
      <c r="BE76" s="45"/>
      <c r="BF76" s="45"/>
      <c r="BG76" s="49"/>
      <c r="BH76" s="45"/>
      <c r="BI76" s="49"/>
      <c r="BJ76" s="47">
        <v>105000000</v>
      </c>
      <c r="BK76" s="45"/>
      <c r="BL76" s="49"/>
      <c r="BM76" s="49"/>
      <c r="BN76" s="45"/>
      <c r="BO76" s="45"/>
      <c r="BP76" s="49"/>
      <c r="BQ76" s="45"/>
      <c r="BR76" s="47"/>
      <c r="BS76" s="49"/>
      <c r="BT76" s="45">
        <v>314</v>
      </c>
      <c r="BU76" s="49"/>
      <c r="BV76" s="52"/>
    </row>
    <row r="77" spans="1:74" ht="15" customHeight="1" x14ac:dyDescent="0.25">
      <c r="A77" s="42" t="s">
        <v>459</v>
      </c>
      <c r="B77" s="43" t="s">
        <v>460</v>
      </c>
      <c r="C77" s="44" t="s">
        <v>54</v>
      </c>
      <c r="D77" s="45">
        <v>277</v>
      </c>
      <c r="E77" s="45" t="s">
        <v>345</v>
      </c>
      <c r="F77" s="45" t="s">
        <v>592</v>
      </c>
      <c r="G77" s="45" t="s">
        <v>593</v>
      </c>
      <c r="H77" s="45" t="s">
        <v>127</v>
      </c>
      <c r="I77" s="74">
        <v>44978</v>
      </c>
      <c r="J77" s="45" t="s">
        <v>1110</v>
      </c>
      <c r="K77" s="45" t="s">
        <v>730</v>
      </c>
      <c r="L77" s="45" t="s">
        <v>61</v>
      </c>
      <c r="M77" s="45" t="s">
        <v>594</v>
      </c>
      <c r="N77" s="45" t="s">
        <v>595</v>
      </c>
      <c r="O77" s="48" t="s">
        <v>596</v>
      </c>
      <c r="P77" s="47">
        <v>125000000</v>
      </c>
      <c r="Q77" s="47">
        <v>120963500</v>
      </c>
      <c r="R77" s="45">
        <v>14823</v>
      </c>
      <c r="S77" s="45" t="s">
        <v>597</v>
      </c>
      <c r="T77" s="45" t="s">
        <v>516</v>
      </c>
      <c r="U77" s="45" t="s">
        <v>517</v>
      </c>
      <c r="V77" s="45"/>
      <c r="W77" s="45"/>
      <c r="X77" s="45"/>
      <c r="Y77" s="46"/>
      <c r="Z77" s="45"/>
      <c r="AA77" s="45"/>
      <c r="AB77" s="45"/>
      <c r="AC77" s="45"/>
      <c r="AD77" s="45"/>
      <c r="AE77" s="45"/>
      <c r="AF77" s="45"/>
      <c r="AG77" s="45"/>
      <c r="AH77" s="45"/>
      <c r="AI77" s="45"/>
      <c r="AJ77" s="45"/>
      <c r="AK77" s="45"/>
      <c r="AL77" s="50" t="e">
        <f ca="1">+YEAR(TODAY())-YEAR([2]!Tabla1[[#This Row],[FECHA DE NACIMIENTO]])</f>
        <v>#REF!</v>
      </c>
      <c r="AM77" s="45"/>
      <c r="AN77" s="49"/>
      <c r="AO77" s="47"/>
      <c r="AP77" s="45"/>
      <c r="AQ77" s="45"/>
      <c r="AR77" s="45"/>
      <c r="AS77" s="75"/>
      <c r="AT77" s="45"/>
      <c r="AU77" s="49"/>
      <c r="AV77" s="45"/>
      <c r="AW77" s="49"/>
      <c r="AX77" s="49"/>
      <c r="AY77" s="44">
        <f>(AX77-AW77)</f>
        <v>0</v>
      </c>
      <c r="AZ77" s="45"/>
      <c r="BA77" s="45"/>
      <c r="BB77" s="47"/>
      <c r="BC77" s="49"/>
      <c r="BD77" s="45"/>
      <c r="BE77" s="45"/>
      <c r="BF77" s="45"/>
      <c r="BG77" s="49"/>
      <c r="BH77" s="45"/>
      <c r="BI77" s="49"/>
      <c r="BJ77" s="47" t="e">
        <f>([2]!Tabla1[[#This Row],[VALOR TOTAL CONTRATO + VF]]+[2]!Tabla1[[#This Row],[ADICION 1 ]]+[2]!Tabla1[[#This Row],[ADICION 2]]-[2]!Tabla1[[#This Row],[LIBERACION]])</f>
        <v>#REF!</v>
      </c>
      <c r="BK77" s="45"/>
      <c r="BL77" s="49"/>
      <c r="BM77" s="49"/>
      <c r="BN77" s="45"/>
      <c r="BO77" s="45"/>
      <c r="BP77" s="49"/>
      <c r="BQ77" s="45"/>
      <c r="BR77" s="47"/>
      <c r="BS77" s="49"/>
      <c r="BT77" s="45">
        <f>SUM(AY77+BK77+BN77+BQ77)</f>
        <v>0</v>
      </c>
      <c r="BU77" s="49"/>
      <c r="BV77" s="52"/>
    </row>
    <row r="78" spans="1:74" ht="15" customHeight="1" x14ac:dyDescent="0.25">
      <c r="A78" s="42" t="s">
        <v>459</v>
      </c>
      <c r="B78" s="43" t="s">
        <v>460</v>
      </c>
      <c r="C78" s="44" t="s">
        <v>54</v>
      </c>
      <c r="D78" s="48">
        <v>27</v>
      </c>
      <c r="E78" s="45" t="s">
        <v>221</v>
      </c>
      <c r="F78" s="48" t="s">
        <v>510</v>
      </c>
      <c r="G78" s="45" t="s">
        <v>511</v>
      </c>
      <c r="H78" s="45" t="s">
        <v>127</v>
      </c>
      <c r="I78" s="74">
        <v>44979</v>
      </c>
      <c r="J78" s="48" t="s">
        <v>59</v>
      </c>
      <c r="K78" s="48" t="s">
        <v>330</v>
      </c>
      <c r="L78" s="45" t="s">
        <v>166</v>
      </c>
      <c r="M78" s="45" t="s">
        <v>512</v>
      </c>
      <c r="N78" s="45" t="s">
        <v>513</v>
      </c>
      <c r="O78" s="45" t="s">
        <v>514</v>
      </c>
      <c r="P78" s="56">
        <v>36890000</v>
      </c>
      <c r="Q78" s="56">
        <v>36890000</v>
      </c>
      <c r="R78" s="45">
        <v>22123</v>
      </c>
      <c r="S78" s="45" t="s">
        <v>515</v>
      </c>
      <c r="T78" s="45" t="s">
        <v>64</v>
      </c>
      <c r="U78" s="45" t="s">
        <v>65</v>
      </c>
      <c r="V78" s="45"/>
      <c r="W78" s="45" t="s">
        <v>891</v>
      </c>
      <c r="X78" s="45" t="s">
        <v>771</v>
      </c>
      <c r="Y78" s="74">
        <v>44994</v>
      </c>
      <c r="Z78" s="45" t="s">
        <v>892</v>
      </c>
      <c r="AA78" s="45"/>
      <c r="AB78" s="45" t="s">
        <v>68</v>
      </c>
      <c r="AC78" s="45" t="s">
        <v>69</v>
      </c>
      <c r="AD78" s="45" t="s">
        <v>893</v>
      </c>
      <c r="AE78" s="45">
        <v>830041326</v>
      </c>
      <c r="AF78" s="45">
        <v>2</v>
      </c>
      <c r="AG78" s="48" t="s">
        <v>517</v>
      </c>
      <c r="AH78" s="45" t="s">
        <v>297</v>
      </c>
      <c r="AI78" s="45" t="s">
        <v>465</v>
      </c>
      <c r="AJ78" s="57" t="s">
        <v>890</v>
      </c>
      <c r="AK78" s="50" t="s">
        <v>517</v>
      </c>
      <c r="AL78" s="50" t="s">
        <v>517</v>
      </c>
      <c r="AM78" s="45">
        <v>53123</v>
      </c>
      <c r="AN78" s="74">
        <v>44995</v>
      </c>
      <c r="AO78" s="47">
        <v>36890000</v>
      </c>
      <c r="AP78" s="45"/>
      <c r="AQ78" s="45"/>
      <c r="AR78" s="45"/>
      <c r="AS78" s="47">
        <v>36890000</v>
      </c>
      <c r="AT78" s="45" t="s">
        <v>478</v>
      </c>
      <c r="AU78" s="48" t="s">
        <v>517</v>
      </c>
      <c r="AV78" s="48" t="s">
        <v>517</v>
      </c>
      <c r="AW78" s="74">
        <v>44995</v>
      </c>
      <c r="AX78" s="74">
        <v>45209</v>
      </c>
      <c r="AY78" s="44">
        <f>(AX78-AW78)</f>
        <v>214</v>
      </c>
      <c r="AZ78" s="45" t="s">
        <v>172</v>
      </c>
      <c r="BA78" s="45">
        <v>79279880</v>
      </c>
      <c r="BB78" s="47"/>
      <c r="BC78" s="49"/>
      <c r="BD78" s="45"/>
      <c r="BE78" s="45"/>
      <c r="BF78" s="45"/>
      <c r="BG78" s="49"/>
      <c r="BH78" s="45"/>
      <c r="BI78" s="49"/>
      <c r="BJ78" s="47" t="e">
        <f>([3]!Tabla1[[#This Row],[VALOR TOTAL CONTRATO + VF]]+[3]!Tabla1[[#This Row],[ADICION 1 ]]+[3]!Tabla1[[#This Row],[ADICION 2]]-[3]!Tabla1[[#This Row],[LIBERACION]])</f>
        <v>#REF!</v>
      </c>
      <c r="BK78" s="45"/>
      <c r="BL78" s="49"/>
      <c r="BM78" s="49"/>
      <c r="BN78" s="45"/>
      <c r="BO78" s="45"/>
      <c r="BP78" s="49"/>
      <c r="BQ78" s="45"/>
      <c r="BR78" s="47"/>
      <c r="BS78" s="49"/>
      <c r="BT78" s="45">
        <f>SUM(AY78+BK78+BN78+BQ78)</f>
        <v>214</v>
      </c>
      <c r="BU78" s="49"/>
      <c r="BV78" s="52"/>
    </row>
    <row r="79" spans="1:74" ht="15" customHeight="1" x14ac:dyDescent="0.25">
      <c r="A79" s="42" t="s">
        <v>459</v>
      </c>
      <c r="B79" s="43" t="s">
        <v>669</v>
      </c>
      <c r="C79" s="44" t="s">
        <v>54</v>
      </c>
      <c r="D79" s="45">
        <v>60</v>
      </c>
      <c r="E79" s="45" t="s">
        <v>344</v>
      </c>
      <c r="F79" s="45" t="s">
        <v>670</v>
      </c>
      <c r="G79" s="45" t="s">
        <v>671</v>
      </c>
      <c r="H79" s="45" t="s">
        <v>127</v>
      </c>
      <c r="I79" s="74">
        <v>44980</v>
      </c>
      <c r="J79" s="45" t="s">
        <v>59</v>
      </c>
      <c r="K79" s="45" t="s">
        <v>60</v>
      </c>
      <c r="L79" s="45" t="s">
        <v>225</v>
      </c>
      <c r="M79" s="45" t="s">
        <v>672</v>
      </c>
      <c r="N79" s="45" t="s">
        <v>673</v>
      </c>
      <c r="O79" s="48" t="s">
        <v>674</v>
      </c>
      <c r="P79" s="47">
        <v>105000000</v>
      </c>
      <c r="Q79" s="47">
        <v>105000000</v>
      </c>
      <c r="R79" s="45">
        <v>22323</v>
      </c>
      <c r="S79" s="45" t="s">
        <v>89</v>
      </c>
      <c r="T79" s="45" t="s">
        <v>64</v>
      </c>
      <c r="U79" s="45" t="s">
        <v>65</v>
      </c>
      <c r="V79" s="45"/>
      <c r="W79" s="45" t="s">
        <v>675</v>
      </c>
      <c r="X79" s="45" t="s">
        <v>127</v>
      </c>
      <c r="Y79" s="46">
        <v>44979</v>
      </c>
      <c r="Z79" s="45" t="s">
        <v>67</v>
      </c>
      <c r="AA79" s="45"/>
      <c r="AB79" s="45" t="s">
        <v>68</v>
      </c>
      <c r="AC79" s="45" t="s">
        <v>69</v>
      </c>
      <c r="AD79" s="45" t="s">
        <v>676</v>
      </c>
      <c r="AE79" s="45">
        <v>94460645</v>
      </c>
      <c r="AF79" s="45"/>
      <c r="AG79" s="45"/>
      <c r="AH79" s="45"/>
      <c r="AI79" s="45"/>
      <c r="AJ79" s="45"/>
      <c r="AK79" s="45"/>
      <c r="AL79" s="50">
        <v>123</v>
      </c>
      <c r="AM79" s="45">
        <v>41923</v>
      </c>
      <c r="AN79" s="49">
        <v>44972</v>
      </c>
      <c r="AO79" s="47">
        <v>105000000</v>
      </c>
      <c r="AP79" s="45"/>
      <c r="AQ79" s="45"/>
      <c r="AR79" s="45"/>
      <c r="AS79" s="51">
        <f>SUM(AO79+AP79+AQ79+AR79)</f>
        <v>105000000</v>
      </c>
      <c r="AT79" s="45" t="s">
        <v>297</v>
      </c>
      <c r="AU79" s="49">
        <v>44982</v>
      </c>
      <c r="AV79" s="45" t="s">
        <v>677</v>
      </c>
      <c r="AW79" s="49">
        <v>44979</v>
      </c>
      <c r="AX79" s="49">
        <v>45291</v>
      </c>
      <c r="AY79" s="44">
        <v>312</v>
      </c>
      <c r="AZ79" s="45" t="s">
        <v>92</v>
      </c>
      <c r="BA79" s="45">
        <v>19498970</v>
      </c>
      <c r="BB79" s="47"/>
      <c r="BC79" s="49"/>
      <c r="BD79" s="45"/>
      <c r="BE79" s="45"/>
      <c r="BF79" s="45"/>
      <c r="BG79" s="49"/>
      <c r="BH79" s="45"/>
      <c r="BI79" s="49"/>
      <c r="BJ79" s="47">
        <v>105000000</v>
      </c>
      <c r="BK79" s="45"/>
      <c r="BL79" s="49"/>
      <c r="BM79" s="49"/>
      <c r="BN79" s="45"/>
      <c r="BO79" s="45"/>
      <c r="BP79" s="49"/>
      <c r="BQ79" s="45"/>
      <c r="BR79" s="47"/>
      <c r="BS79" s="49"/>
      <c r="BT79" s="45">
        <v>312</v>
      </c>
      <c r="BU79" s="49"/>
      <c r="BV79" s="52"/>
    </row>
    <row r="80" spans="1:74" ht="15" customHeight="1" x14ac:dyDescent="0.25">
      <c r="A80" s="42" t="s">
        <v>459</v>
      </c>
      <c r="B80" s="43" t="s">
        <v>687</v>
      </c>
      <c r="C80" s="44" t="s">
        <v>54</v>
      </c>
      <c r="D80" s="45">
        <v>65</v>
      </c>
      <c r="E80" s="45" t="s">
        <v>344</v>
      </c>
      <c r="F80" s="73" t="s">
        <v>688</v>
      </c>
      <c r="G80" s="45" t="s">
        <v>689</v>
      </c>
      <c r="H80" s="45" t="s">
        <v>127</v>
      </c>
      <c r="I80" s="74">
        <v>44980</v>
      </c>
      <c r="J80" s="45" t="s">
        <v>59</v>
      </c>
      <c r="K80" s="45" t="s">
        <v>60</v>
      </c>
      <c r="L80" s="45" t="s">
        <v>225</v>
      </c>
      <c r="M80" s="73" t="s">
        <v>690</v>
      </c>
      <c r="N80" s="45" t="s">
        <v>691</v>
      </c>
      <c r="O80" s="48" t="s">
        <v>692</v>
      </c>
      <c r="P80" s="47">
        <v>80000000</v>
      </c>
      <c r="Q80" s="47">
        <v>80000000</v>
      </c>
      <c r="R80" s="45">
        <v>20023</v>
      </c>
      <c r="S80" s="45" t="s">
        <v>89</v>
      </c>
      <c r="T80" s="45" t="s">
        <v>64</v>
      </c>
      <c r="U80" s="45" t="s">
        <v>65</v>
      </c>
      <c r="V80" s="45"/>
      <c r="W80" s="45" t="s">
        <v>693</v>
      </c>
      <c r="X80" s="45" t="s">
        <v>127</v>
      </c>
      <c r="Y80" s="46">
        <v>44979</v>
      </c>
      <c r="Z80" s="45" t="s">
        <v>67</v>
      </c>
      <c r="AA80" s="45"/>
      <c r="AB80" s="45" t="s">
        <v>68</v>
      </c>
      <c r="AC80" s="45" t="s">
        <v>69</v>
      </c>
      <c r="AD80" s="45" t="s">
        <v>694</v>
      </c>
      <c r="AE80" s="45">
        <v>1014211359</v>
      </c>
      <c r="AF80" s="45"/>
      <c r="AG80" s="45"/>
      <c r="AH80" s="45"/>
      <c r="AI80" s="45"/>
      <c r="AJ80" s="45"/>
      <c r="AK80" s="45"/>
      <c r="AL80" s="50">
        <v>123</v>
      </c>
      <c r="AM80" s="45">
        <v>41523</v>
      </c>
      <c r="AN80" s="49">
        <v>44980</v>
      </c>
      <c r="AO80" s="47">
        <v>80000000</v>
      </c>
      <c r="AP80" s="45"/>
      <c r="AQ80" s="45"/>
      <c r="AR80" s="45"/>
      <c r="AS80" s="51">
        <f>SUM(AO80+AP80+AQ80+AR80)</f>
        <v>80000000</v>
      </c>
      <c r="AT80" s="45" t="s">
        <v>297</v>
      </c>
      <c r="AU80" s="49">
        <v>44980</v>
      </c>
      <c r="AV80" s="45" t="s">
        <v>695</v>
      </c>
      <c r="AW80" s="49">
        <v>44979</v>
      </c>
      <c r="AX80" s="49">
        <v>45291</v>
      </c>
      <c r="AY80" s="45">
        <v>312</v>
      </c>
      <c r="AZ80" s="45" t="s">
        <v>92</v>
      </c>
      <c r="BA80" s="45">
        <v>19498970</v>
      </c>
      <c r="BB80" s="47"/>
      <c r="BC80" s="49"/>
      <c r="BD80" s="45"/>
      <c r="BE80" s="45"/>
      <c r="BF80" s="45"/>
      <c r="BG80" s="49"/>
      <c r="BH80" s="45"/>
      <c r="BI80" s="49"/>
      <c r="BJ80" s="47">
        <v>80000000</v>
      </c>
      <c r="BK80" s="45"/>
      <c r="BL80" s="49"/>
      <c r="BM80" s="49"/>
      <c r="BN80" s="45"/>
      <c r="BO80" s="45"/>
      <c r="BP80" s="49"/>
      <c r="BQ80" s="45"/>
      <c r="BR80" s="47"/>
      <c r="BS80" s="49"/>
      <c r="BT80" s="45">
        <v>312</v>
      </c>
      <c r="BU80" s="49"/>
      <c r="BV80" s="52"/>
    </row>
    <row r="81" spans="1:74" ht="15" customHeight="1" x14ac:dyDescent="0.25">
      <c r="A81" s="42" t="s">
        <v>459</v>
      </c>
      <c r="B81" s="43" t="s">
        <v>704</v>
      </c>
      <c r="C81" s="44" t="s">
        <v>54</v>
      </c>
      <c r="D81" s="45">
        <v>68</v>
      </c>
      <c r="E81" s="45" t="s">
        <v>344</v>
      </c>
      <c r="F81" s="73" t="s">
        <v>705</v>
      </c>
      <c r="G81" s="45" t="s">
        <v>706</v>
      </c>
      <c r="H81" s="45" t="s">
        <v>127</v>
      </c>
      <c r="I81" s="74">
        <v>44980</v>
      </c>
      <c r="J81" s="45" t="s">
        <v>59</v>
      </c>
      <c r="K81" s="45" t="s">
        <v>60</v>
      </c>
      <c r="L81" s="45" t="s">
        <v>225</v>
      </c>
      <c r="M81" s="73" t="s">
        <v>707</v>
      </c>
      <c r="N81" s="45" t="s">
        <v>708</v>
      </c>
      <c r="O81" s="48" t="s">
        <v>709</v>
      </c>
      <c r="P81" s="47">
        <v>84000000</v>
      </c>
      <c r="Q81" s="47">
        <v>84000000</v>
      </c>
      <c r="R81" s="45">
        <v>22623</v>
      </c>
      <c r="S81" s="45" t="s">
        <v>89</v>
      </c>
      <c r="T81" s="45" t="s">
        <v>64</v>
      </c>
      <c r="U81" s="45" t="s">
        <v>65</v>
      </c>
      <c r="V81" s="45"/>
      <c r="W81" s="45" t="s">
        <v>710</v>
      </c>
      <c r="X81" s="45" t="s">
        <v>127</v>
      </c>
      <c r="Y81" s="46">
        <v>44979</v>
      </c>
      <c r="Z81" s="45" t="s">
        <v>67</v>
      </c>
      <c r="AA81" s="45"/>
      <c r="AB81" s="45" t="s">
        <v>68</v>
      </c>
      <c r="AC81" s="45" t="s">
        <v>69</v>
      </c>
      <c r="AD81" s="45" t="s">
        <v>711</v>
      </c>
      <c r="AE81" s="45">
        <v>1085298706</v>
      </c>
      <c r="AF81" s="45"/>
      <c r="AG81" s="45"/>
      <c r="AH81" s="45"/>
      <c r="AI81" s="45"/>
      <c r="AJ81" s="45"/>
      <c r="AK81" s="45"/>
      <c r="AL81" s="50">
        <v>123</v>
      </c>
      <c r="AM81" s="45">
        <v>41623</v>
      </c>
      <c r="AN81" s="49">
        <v>44980</v>
      </c>
      <c r="AO81" s="47">
        <v>84000000</v>
      </c>
      <c r="AP81" s="45"/>
      <c r="AQ81" s="45"/>
      <c r="AR81" s="45"/>
      <c r="AS81" s="51">
        <f>SUM(AO81+AP81+AQ81+AR81)</f>
        <v>84000000</v>
      </c>
      <c r="AT81" s="45" t="s">
        <v>297</v>
      </c>
      <c r="AU81" s="49">
        <v>44981</v>
      </c>
      <c r="AV81" s="45" t="s">
        <v>712</v>
      </c>
      <c r="AW81" s="49">
        <v>44979</v>
      </c>
      <c r="AX81" s="49">
        <v>45291</v>
      </c>
      <c r="AY81" s="45">
        <v>312</v>
      </c>
      <c r="AZ81" s="45" t="s">
        <v>92</v>
      </c>
      <c r="BA81" s="45">
        <v>19498970</v>
      </c>
      <c r="BB81" s="47"/>
      <c r="BC81" s="49"/>
      <c r="BD81" s="45"/>
      <c r="BE81" s="45"/>
      <c r="BF81" s="45"/>
      <c r="BG81" s="49"/>
      <c r="BH81" s="45"/>
      <c r="BI81" s="49"/>
      <c r="BJ81" s="47">
        <v>84000000</v>
      </c>
      <c r="BK81" s="45"/>
      <c r="BL81" s="49"/>
      <c r="BM81" s="49"/>
      <c r="BN81" s="45"/>
      <c r="BO81" s="45"/>
      <c r="BP81" s="49"/>
      <c r="BQ81" s="45"/>
      <c r="BR81" s="47"/>
      <c r="BS81" s="49"/>
      <c r="BT81" s="45">
        <v>312</v>
      </c>
      <c r="BU81" s="49"/>
      <c r="BV81" s="52"/>
    </row>
    <row r="82" spans="1:74" ht="15" customHeight="1" x14ac:dyDescent="0.25">
      <c r="A82" s="42" t="s">
        <v>459</v>
      </c>
      <c r="B82" s="43" t="s">
        <v>460</v>
      </c>
      <c r="C82" s="44" t="s">
        <v>54</v>
      </c>
      <c r="D82" s="48">
        <v>235</v>
      </c>
      <c r="E82" s="45" t="s">
        <v>221</v>
      </c>
      <c r="F82" s="76" t="s">
        <v>574</v>
      </c>
      <c r="G82" s="61" t="s">
        <v>575</v>
      </c>
      <c r="H82" s="45" t="s">
        <v>127</v>
      </c>
      <c r="I82" s="77">
        <v>44980</v>
      </c>
      <c r="J82" s="48" t="s">
        <v>59</v>
      </c>
      <c r="K82" s="45" t="s">
        <v>60</v>
      </c>
      <c r="L82" s="48" t="s">
        <v>334</v>
      </c>
      <c r="M82" s="73" t="s">
        <v>576</v>
      </c>
      <c r="N82" s="45" t="s">
        <v>577</v>
      </c>
      <c r="O82" s="45" t="s">
        <v>578</v>
      </c>
      <c r="P82" s="56">
        <v>34410000</v>
      </c>
      <c r="Q82" s="56">
        <v>34410000</v>
      </c>
      <c r="R82" s="48">
        <v>21123</v>
      </c>
      <c r="S82" s="45" t="s">
        <v>63</v>
      </c>
      <c r="T82" s="45" t="s">
        <v>64</v>
      </c>
      <c r="U82" s="45" t="s">
        <v>65</v>
      </c>
      <c r="V82" s="45"/>
      <c r="W82" s="61" t="s">
        <v>884</v>
      </c>
      <c r="X82" s="45" t="s">
        <v>771</v>
      </c>
      <c r="Y82" s="46">
        <v>45002</v>
      </c>
      <c r="Z82" s="45" t="s">
        <v>60</v>
      </c>
      <c r="AA82" s="48"/>
      <c r="AB82" s="45" t="s">
        <v>68</v>
      </c>
      <c r="AC82" s="45" t="s">
        <v>69</v>
      </c>
      <c r="AD82" s="48" t="s">
        <v>885</v>
      </c>
      <c r="AE82" s="45">
        <v>900422614</v>
      </c>
      <c r="AF82" s="48">
        <v>8</v>
      </c>
      <c r="AG82" s="48" t="s">
        <v>517</v>
      </c>
      <c r="AH82" s="45" t="s">
        <v>551</v>
      </c>
      <c r="AI82" s="45" t="s">
        <v>467</v>
      </c>
      <c r="AJ82" s="45" t="s">
        <v>886</v>
      </c>
      <c r="AK82" s="50" t="s">
        <v>517</v>
      </c>
      <c r="AL82" s="50" t="s">
        <v>517</v>
      </c>
      <c r="AM82" s="45">
        <v>59323</v>
      </c>
      <c r="AN82" s="74">
        <v>45007</v>
      </c>
      <c r="AO82" s="56">
        <v>34410000</v>
      </c>
      <c r="AP82" s="48"/>
      <c r="AQ82" s="59"/>
      <c r="AR82" s="48"/>
      <c r="AS82" s="56">
        <v>34410000</v>
      </c>
      <c r="AT82" s="45" t="s">
        <v>478</v>
      </c>
      <c r="AU82" s="48" t="s">
        <v>517</v>
      </c>
      <c r="AV82" s="48" t="s">
        <v>517</v>
      </c>
      <c r="AW82" s="74">
        <v>45007</v>
      </c>
      <c r="AX82" s="74">
        <v>45291</v>
      </c>
      <c r="AY82" s="45">
        <f>(AX82-AW82)</f>
        <v>284</v>
      </c>
      <c r="AZ82" s="56" t="s">
        <v>887</v>
      </c>
      <c r="BA82" s="45">
        <v>88237021</v>
      </c>
      <c r="BB82" s="56"/>
      <c r="BC82" s="61"/>
      <c r="BD82" s="48"/>
      <c r="BE82" s="61"/>
      <c r="BF82" s="48"/>
      <c r="BG82" s="61"/>
      <c r="BH82" s="56"/>
      <c r="BI82" s="61"/>
      <c r="BJ82" s="47" t="e">
        <f>([3]!Tabla1[[#This Row],[VALOR TOTAL CONTRATO + VF]]+[3]!Tabla1[[#This Row],[ADICION 1 ]]+[3]!Tabla1[[#This Row],[ADICION 2]]-[3]!Tabla1[[#This Row],[LIBERACION]])</f>
        <v>#REF!</v>
      </c>
      <c r="BK82" s="61"/>
      <c r="BL82" s="61"/>
      <c r="BM82" s="61"/>
      <c r="BN82" s="61"/>
      <c r="BO82" s="48"/>
      <c r="BP82" s="61"/>
      <c r="BQ82" s="61"/>
      <c r="BR82" s="56"/>
      <c r="BS82" s="61"/>
      <c r="BT82" s="45">
        <f>SUM(AY82+BK82+BN82+BQ82)</f>
        <v>284</v>
      </c>
      <c r="BU82" s="61"/>
      <c r="BV82" s="60"/>
    </row>
    <row r="83" spans="1:74" ht="15" customHeight="1" x14ac:dyDescent="0.25">
      <c r="A83" s="42" t="s">
        <v>459</v>
      </c>
      <c r="B83" s="43" t="s">
        <v>460</v>
      </c>
      <c r="C83" s="44" t="s">
        <v>54</v>
      </c>
      <c r="D83" s="45">
        <v>72</v>
      </c>
      <c r="E83" s="45" t="s">
        <v>55</v>
      </c>
      <c r="F83" s="73" t="s">
        <v>487</v>
      </c>
      <c r="G83" s="45" t="s">
        <v>488</v>
      </c>
      <c r="H83" s="45" t="s">
        <v>127</v>
      </c>
      <c r="I83" s="74">
        <v>44981</v>
      </c>
      <c r="J83" s="45" t="s">
        <v>59</v>
      </c>
      <c r="K83" s="48" t="s">
        <v>330</v>
      </c>
      <c r="L83" s="45" t="s">
        <v>225</v>
      </c>
      <c r="M83" s="234" t="s">
        <v>1402</v>
      </c>
      <c r="N83" s="233">
        <v>43231600</v>
      </c>
      <c r="O83" s="48" t="s">
        <v>489</v>
      </c>
      <c r="P83" s="47">
        <v>614700000</v>
      </c>
      <c r="Q83" s="47">
        <v>429942610</v>
      </c>
      <c r="R83" s="45">
        <v>22823</v>
      </c>
      <c r="S83" s="45" t="s">
        <v>89</v>
      </c>
      <c r="T83" s="45" t="s">
        <v>64</v>
      </c>
      <c r="U83" s="45" t="s">
        <v>65</v>
      </c>
      <c r="V83" s="45"/>
      <c r="W83" s="45" t="s">
        <v>814</v>
      </c>
      <c r="X83" s="45" t="s">
        <v>771</v>
      </c>
      <c r="Y83" s="74">
        <v>45009</v>
      </c>
      <c r="Z83" s="45" t="s">
        <v>815</v>
      </c>
      <c r="AA83" s="45"/>
      <c r="AB83" s="45" t="s">
        <v>68</v>
      </c>
      <c r="AC83" s="45" t="s">
        <v>69</v>
      </c>
      <c r="AD83" s="45" t="s">
        <v>816</v>
      </c>
      <c r="AE83" s="45">
        <v>830042244</v>
      </c>
      <c r="AF83" s="45">
        <v>1</v>
      </c>
      <c r="AG83" s="45"/>
      <c r="AH83" s="45"/>
      <c r="AI83" s="45"/>
      <c r="AJ83" s="45"/>
      <c r="AK83" s="45"/>
      <c r="AL83" s="50"/>
      <c r="AM83" s="45">
        <v>61623</v>
      </c>
      <c r="AN83" s="49">
        <v>45012</v>
      </c>
      <c r="AO83" s="47">
        <v>429942199.07999998</v>
      </c>
      <c r="AP83" s="45"/>
      <c r="AQ83" s="45"/>
      <c r="AR83" s="45"/>
      <c r="AS83" s="51">
        <v>429942199.07999998</v>
      </c>
      <c r="AT83" s="45" t="s">
        <v>75</v>
      </c>
      <c r="AU83" s="74">
        <v>45009</v>
      </c>
      <c r="AV83" s="45" t="s">
        <v>74</v>
      </c>
      <c r="AW83" s="49">
        <v>45014</v>
      </c>
      <c r="AX83" s="74">
        <v>45291</v>
      </c>
      <c r="AY83" s="44">
        <f>(AX83-AW83)</f>
        <v>277</v>
      </c>
      <c r="AZ83" s="45" t="s">
        <v>92</v>
      </c>
      <c r="BA83" s="45">
        <v>19498970</v>
      </c>
      <c r="BB83" s="47"/>
      <c r="BC83" s="49"/>
      <c r="BD83" s="45"/>
      <c r="BE83" s="45"/>
      <c r="BF83" s="45"/>
      <c r="BG83" s="49"/>
      <c r="BH83" s="45"/>
      <c r="BI83" s="49"/>
      <c r="BJ83" s="47"/>
      <c r="BK83" s="45"/>
      <c r="BL83" s="49"/>
      <c r="BM83" s="49"/>
      <c r="BN83" s="45"/>
      <c r="BO83" s="45"/>
      <c r="BP83" s="49"/>
      <c r="BQ83" s="45"/>
      <c r="BR83" s="47"/>
      <c r="BS83" s="49"/>
      <c r="BT83" s="45"/>
      <c r="BU83" s="49"/>
      <c r="BV83" s="52"/>
    </row>
    <row r="84" spans="1:74" ht="15" customHeight="1" x14ac:dyDescent="0.25">
      <c r="A84" s="42" t="s">
        <v>459</v>
      </c>
      <c r="B84" s="43" t="s">
        <v>460</v>
      </c>
      <c r="C84" s="44" t="s">
        <v>54</v>
      </c>
      <c r="D84" s="45">
        <v>10</v>
      </c>
      <c r="E84" s="45" t="s">
        <v>767</v>
      </c>
      <c r="F84" s="73" t="s">
        <v>628</v>
      </c>
      <c r="G84" s="45" t="s">
        <v>629</v>
      </c>
      <c r="H84" s="45" t="s">
        <v>127</v>
      </c>
      <c r="I84" s="46">
        <v>44981</v>
      </c>
      <c r="J84" s="45" t="s">
        <v>59</v>
      </c>
      <c r="K84" s="45" t="s">
        <v>60</v>
      </c>
      <c r="L84" s="45" t="s">
        <v>150</v>
      </c>
      <c r="M84" s="73" t="s">
        <v>630</v>
      </c>
      <c r="N84" s="45">
        <v>80161500</v>
      </c>
      <c r="O84" s="45" t="s">
        <v>631</v>
      </c>
      <c r="P84" s="47">
        <v>36750000</v>
      </c>
      <c r="Q84" s="47">
        <v>36750000</v>
      </c>
      <c r="R84" s="45">
        <v>22223</v>
      </c>
      <c r="S84" s="45" t="s">
        <v>349</v>
      </c>
      <c r="T84" s="45" t="s">
        <v>64</v>
      </c>
      <c r="U84" s="45" t="s">
        <v>65</v>
      </c>
      <c r="V84" s="45"/>
      <c r="W84" s="45" t="s">
        <v>614</v>
      </c>
      <c r="X84" s="45" t="s">
        <v>632</v>
      </c>
      <c r="Y84" s="46">
        <v>44987</v>
      </c>
      <c r="Z84" s="45" t="s">
        <v>67</v>
      </c>
      <c r="AA84" s="45"/>
      <c r="AB84" s="45" t="s">
        <v>68</v>
      </c>
      <c r="AC84" s="45" t="s">
        <v>69</v>
      </c>
      <c r="AD84" s="45" t="s">
        <v>633</v>
      </c>
      <c r="AE84" s="45">
        <v>1020831517</v>
      </c>
      <c r="AF84" s="45"/>
      <c r="AG84" s="45" t="s">
        <v>634</v>
      </c>
      <c r="AH84" s="45" t="s">
        <v>551</v>
      </c>
      <c r="AI84" s="45"/>
      <c r="AJ84" s="45"/>
      <c r="AK84" s="45">
        <v>35883</v>
      </c>
      <c r="AL84" s="50">
        <f ca="1">+YEAR(TODAY())-YEAR(AK84)</f>
        <v>25</v>
      </c>
      <c r="AM84" s="45">
        <v>43223</v>
      </c>
      <c r="AN84" s="46">
        <v>44985</v>
      </c>
      <c r="AO84" s="47">
        <v>36750000</v>
      </c>
      <c r="AP84" s="45"/>
      <c r="AQ84" s="45"/>
      <c r="AR84" s="45"/>
      <c r="AS84" s="51">
        <f>SUM(AO84+AP84+AQ84+AR84)</f>
        <v>36750000</v>
      </c>
      <c r="AT84" s="45" t="s">
        <v>297</v>
      </c>
      <c r="AU84" s="46">
        <v>44984</v>
      </c>
      <c r="AV84" s="45" t="s">
        <v>74</v>
      </c>
      <c r="AW84" s="46">
        <v>44985</v>
      </c>
      <c r="AX84" s="46">
        <v>45291</v>
      </c>
      <c r="AY84" s="44">
        <f>(AX84-AW84)</f>
        <v>306</v>
      </c>
      <c r="AZ84" s="45" t="s">
        <v>156</v>
      </c>
      <c r="BA84" s="45">
        <v>79276876</v>
      </c>
      <c r="BB84" s="47"/>
      <c r="BC84" s="49"/>
      <c r="BD84" s="45"/>
      <c r="BE84" s="45"/>
      <c r="BF84" s="45"/>
      <c r="BG84" s="49"/>
      <c r="BH84" s="45"/>
      <c r="BI84" s="49"/>
      <c r="BJ84" s="47">
        <v>36750000</v>
      </c>
      <c r="BK84" s="45"/>
      <c r="BL84" s="49"/>
      <c r="BM84" s="49"/>
      <c r="BN84" s="45"/>
      <c r="BO84" s="45"/>
      <c r="BP84" s="49"/>
      <c r="BQ84" s="45"/>
      <c r="BR84" s="47"/>
      <c r="BS84" s="49"/>
      <c r="BT84" s="45">
        <f>SUM(AY84+BK84+BN84+BQ84)</f>
        <v>306</v>
      </c>
      <c r="BU84" s="49"/>
      <c r="BV84" s="52"/>
    </row>
    <row r="85" spans="1:74" ht="15" customHeight="1" x14ac:dyDescent="0.25">
      <c r="A85" s="42" t="s">
        <v>459</v>
      </c>
      <c r="B85" s="43" t="s">
        <v>460</v>
      </c>
      <c r="C85" s="44" t="s">
        <v>54</v>
      </c>
      <c r="D85" s="45">
        <v>154</v>
      </c>
      <c r="E85" s="45" t="s">
        <v>767</v>
      </c>
      <c r="F85" s="45" t="s">
        <v>635</v>
      </c>
      <c r="G85" s="45" t="s">
        <v>636</v>
      </c>
      <c r="H85" s="45" t="s">
        <v>127</v>
      </c>
      <c r="I85" s="46">
        <v>44981</v>
      </c>
      <c r="J85" s="45" t="s">
        <v>59</v>
      </c>
      <c r="K85" s="45" t="s">
        <v>60</v>
      </c>
      <c r="L85" s="45" t="s">
        <v>768</v>
      </c>
      <c r="M85" s="45" t="s">
        <v>637</v>
      </c>
      <c r="N85" s="45">
        <v>80131502</v>
      </c>
      <c r="O85" s="45" t="s">
        <v>638</v>
      </c>
      <c r="P85" s="47">
        <v>88000000</v>
      </c>
      <c r="Q85" s="47">
        <v>88000000</v>
      </c>
      <c r="R85" s="45">
        <v>25423</v>
      </c>
      <c r="S85" s="45" t="s">
        <v>131</v>
      </c>
      <c r="T85" s="45" t="s">
        <v>64</v>
      </c>
      <c r="U85" s="45" t="s">
        <v>65</v>
      </c>
      <c r="V85" s="45"/>
      <c r="W85" s="45" t="s">
        <v>639</v>
      </c>
      <c r="X85" s="45" t="s">
        <v>632</v>
      </c>
      <c r="Y85" s="46">
        <v>44987</v>
      </c>
      <c r="Z85" s="45" t="s">
        <v>128</v>
      </c>
      <c r="AA85" s="45"/>
      <c r="AB85" s="45" t="s">
        <v>68</v>
      </c>
      <c r="AC85" s="45" t="s">
        <v>69</v>
      </c>
      <c r="AD85" s="45" t="s">
        <v>640</v>
      </c>
      <c r="AE85" s="45">
        <v>890505046</v>
      </c>
      <c r="AF85" s="45"/>
      <c r="AG85" s="45" t="s">
        <v>517</v>
      </c>
      <c r="AH85" s="45" t="s">
        <v>551</v>
      </c>
      <c r="AI85" s="45"/>
      <c r="AJ85" s="45"/>
      <c r="AK85" s="45"/>
      <c r="AL85" s="50">
        <f ca="1">+YEAR(TODAY())-YEAR(AK85)</f>
        <v>123</v>
      </c>
      <c r="AM85" s="45" t="s">
        <v>641</v>
      </c>
      <c r="AN85" s="46">
        <v>44986</v>
      </c>
      <c r="AO85" s="47">
        <v>88000000</v>
      </c>
      <c r="AP85" s="45"/>
      <c r="AQ85" s="45"/>
      <c r="AR85" s="45"/>
      <c r="AS85" s="51">
        <f>SUM(AO85+AP85+AQ85+AR85)</f>
        <v>88000000</v>
      </c>
      <c r="AT85" s="45" t="s">
        <v>551</v>
      </c>
      <c r="AU85" s="46" t="s">
        <v>517</v>
      </c>
      <c r="AV85" s="52" t="s">
        <v>517</v>
      </c>
      <c r="AW85" s="46">
        <v>44985</v>
      </c>
      <c r="AX85" s="46">
        <v>45291</v>
      </c>
      <c r="AY85" s="44">
        <f>(AX85-AW85)</f>
        <v>306</v>
      </c>
      <c r="AZ85" s="45" t="s">
        <v>642</v>
      </c>
      <c r="BA85" s="45">
        <v>88264550</v>
      </c>
      <c r="BB85" s="47"/>
      <c r="BC85" s="49"/>
      <c r="BD85" s="45"/>
      <c r="BE85" s="45"/>
      <c r="BF85" s="45"/>
      <c r="BG85" s="49"/>
      <c r="BH85" s="45"/>
      <c r="BI85" s="49"/>
      <c r="BJ85" s="47">
        <v>88000000</v>
      </c>
      <c r="BK85" s="45"/>
      <c r="BL85" s="49"/>
      <c r="BM85" s="49"/>
      <c r="BN85" s="45"/>
      <c r="BO85" s="45"/>
      <c r="BP85" s="49"/>
      <c r="BQ85" s="45"/>
      <c r="BR85" s="47"/>
      <c r="BS85" s="49"/>
      <c r="BT85" s="45">
        <f>SUM(AY85+BK85+BN85+BQ85)</f>
        <v>306</v>
      </c>
      <c r="BU85" s="49"/>
      <c r="BV85" s="52"/>
    </row>
    <row r="86" spans="1:74" ht="15" customHeight="1" x14ac:dyDescent="0.25">
      <c r="A86" s="42" t="s">
        <v>459</v>
      </c>
      <c r="B86" s="43" t="s">
        <v>460</v>
      </c>
      <c r="C86" s="44" t="s">
        <v>54</v>
      </c>
      <c r="D86" s="48">
        <v>62</v>
      </c>
      <c r="E86" s="45" t="s">
        <v>221</v>
      </c>
      <c r="F86" s="48" t="s">
        <v>522</v>
      </c>
      <c r="G86" s="45" t="s">
        <v>523</v>
      </c>
      <c r="H86" s="45" t="s">
        <v>127</v>
      </c>
      <c r="I86" s="74">
        <v>44981</v>
      </c>
      <c r="J86" s="48" t="s">
        <v>59</v>
      </c>
      <c r="K86" s="45" t="s">
        <v>60</v>
      </c>
      <c r="L86" s="45" t="s">
        <v>86</v>
      </c>
      <c r="M86" s="45" t="s">
        <v>524</v>
      </c>
      <c r="N86" s="45" t="s">
        <v>525</v>
      </c>
      <c r="O86" s="45" t="s">
        <v>526</v>
      </c>
      <c r="P86" s="56">
        <v>17100000</v>
      </c>
      <c r="Q86" s="56">
        <v>17100000</v>
      </c>
      <c r="R86" s="45">
        <v>20623</v>
      </c>
      <c r="S86" s="45" t="s">
        <v>89</v>
      </c>
      <c r="T86" s="45" t="s">
        <v>64</v>
      </c>
      <c r="U86" s="45" t="s">
        <v>65</v>
      </c>
      <c r="V86" s="45"/>
      <c r="W86" s="45" t="s">
        <v>896</v>
      </c>
      <c r="X86" s="45" t="s">
        <v>771</v>
      </c>
      <c r="Y86" s="74">
        <v>44986</v>
      </c>
      <c r="Z86" s="45" t="s">
        <v>67</v>
      </c>
      <c r="AA86" s="45"/>
      <c r="AB86" s="45" t="s">
        <v>68</v>
      </c>
      <c r="AC86" s="45" t="s">
        <v>69</v>
      </c>
      <c r="AD86" s="45" t="s">
        <v>897</v>
      </c>
      <c r="AE86" s="45">
        <v>900877941</v>
      </c>
      <c r="AF86" s="45">
        <v>4</v>
      </c>
      <c r="AG86" s="48" t="s">
        <v>517</v>
      </c>
      <c r="AH86" s="45" t="s">
        <v>551</v>
      </c>
      <c r="AI86" s="45" t="s">
        <v>467</v>
      </c>
      <c r="AJ86" s="78" t="s">
        <v>876</v>
      </c>
      <c r="AK86" s="50" t="s">
        <v>517</v>
      </c>
      <c r="AL86" s="50" t="s">
        <v>517</v>
      </c>
      <c r="AM86" s="45">
        <v>45823</v>
      </c>
      <c r="AN86" s="74">
        <v>44991</v>
      </c>
      <c r="AO86" s="47">
        <v>17062287</v>
      </c>
      <c r="AP86" s="45"/>
      <c r="AQ86" s="45"/>
      <c r="AR86" s="45"/>
      <c r="AS86" s="47">
        <v>17062287</v>
      </c>
      <c r="AT86" s="45" t="s">
        <v>75</v>
      </c>
      <c r="AU86" s="74">
        <v>44988</v>
      </c>
      <c r="AV86" s="52" t="s">
        <v>74</v>
      </c>
      <c r="AW86" s="74">
        <v>44991</v>
      </c>
      <c r="AX86" s="74">
        <v>45291</v>
      </c>
      <c r="AY86" s="44">
        <f>(AX86-AW86)</f>
        <v>300</v>
      </c>
      <c r="AZ86" s="45" t="s">
        <v>92</v>
      </c>
      <c r="BA86" s="45">
        <v>19498970</v>
      </c>
      <c r="BB86" s="47"/>
      <c r="BC86" s="49"/>
      <c r="BD86" s="45"/>
      <c r="BE86" s="45"/>
      <c r="BF86" s="45"/>
      <c r="BG86" s="49"/>
      <c r="BH86" s="45"/>
      <c r="BI86" s="49"/>
      <c r="BJ86" s="47" t="e">
        <f>([3]!Tabla1[[#This Row],[VALOR TOTAL CONTRATO + VF]]+[3]!Tabla1[[#This Row],[ADICION 1 ]]+[3]!Tabla1[[#This Row],[ADICION 2]]-[3]!Tabla1[[#This Row],[LIBERACION]])</f>
        <v>#REF!</v>
      </c>
      <c r="BK86" s="45"/>
      <c r="BL86" s="49"/>
      <c r="BM86" s="49"/>
      <c r="BN86" s="45"/>
      <c r="BO86" s="45"/>
      <c r="BP86" s="49"/>
      <c r="BQ86" s="45"/>
      <c r="BR86" s="47"/>
      <c r="BS86" s="49"/>
      <c r="BT86" s="45">
        <f>SUM(AY86+BK86+BN86+BQ86)</f>
        <v>300</v>
      </c>
      <c r="BU86" s="49"/>
      <c r="BV86" s="52"/>
    </row>
    <row r="87" spans="1:74" s="234" customFormat="1" ht="15" customHeight="1" x14ac:dyDescent="0.25">
      <c r="A87" s="242" t="s">
        <v>459</v>
      </c>
      <c r="B87" s="243" t="s">
        <v>460</v>
      </c>
      <c r="C87" s="244" t="s">
        <v>54</v>
      </c>
      <c r="D87" s="249">
        <v>199</v>
      </c>
      <c r="E87" s="234" t="s">
        <v>221</v>
      </c>
      <c r="F87" s="249" t="s">
        <v>541</v>
      </c>
      <c r="G87" s="234" t="s">
        <v>542</v>
      </c>
      <c r="H87" s="234" t="s">
        <v>127</v>
      </c>
      <c r="I87" s="236">
        <v>44981</v>
      </c>
      <c r="J87" s="234" t="s">
        <v>534</v>
      </c>
      <c r="K87" s="234" t="s">
        <v>60</v>
      </c>
      <c r="L87" s="234" t="s">
        <v>61</v>
      </c>
      <c r="M87" s="234" t="s">
        <v>543</v>
      </c>
      <c r="N87" s="234">
        <v>76111801</v>
      </c>
      <c r="O87" s="234" t="s">
        <v>544</v>
      </c>
      <c r="P87" s="259">
        <v>16325000</v>
      </c>
      <c r="Q87" s="259">
        <v>16325000</v>
      </c>
      <c r="R87" s="234">
        <v>20823</v>
      </c>
      <c r="S87" s="234" t="s">
        <v>500</v>
      </c>
      <c r="T87" s="234" t="s">
        <v>64</v>
      </c>
      <c r="U87" s="234" t="s">
        <v>65</v>
      </c>
      <c r="V87" s="234" t="s">
        <v>517</v>
      </c>
      <c r="W87" s="234" t="s">
        <v>888</v>
      </c>
      <c r="X87" s="234" t="s">
        <v>771</v>
      </c>
      <c r="Y87" s="236">
        <v>45007</v>
      </c>
      <c r="Z87" s="234" t="s">
        <v>67</v>
      </c>
      <c r="AA87" s="252"/>
      <c r="AB87" s="234" t="s">
        <v>68</v>
      </c>
      <c r="AC87" s="234" t="s">
        <v>69</v>
      </c>
      <c r="AD87" s="234" t="s">
        <v>889</v>
      </c>
      <c r="AE87" s="234">
        <v>800250589</v>
      </c>
      <c r="AF87" s="234">
        <v>1</v>
      </c>
      <c r="AG87" s="249" t="s">
        <v>517</v>
      </c>
      <c r="AH87" s="234" t="s">
        <v>297</v>
      </c>
      <c r="AI87" s="234" t="s">
        <v>465</v>
      </c>
      <c r="AJ87" s="260" t="s">
        <v>890</v>
      </c>
      <c r="AK87" s="261" t="s">
        <v>517</v>
      </c>
      <c r="AL87" s="261" t="s">
        <v>517</v>
      </c>
      <c r="AM87" s="234">
        <v>59623</v>
      </c>
      <c r="AN87" s="236">
        <v>45008</v>
      </c>
      <c r="AO87" s="262">
        <v>16325000</v>
      </c>
      <c r="AP87" s="252"/>
      <c r="AQ87" s="252"/>
      <c r="AR87" s="252"/>
      <c r="AS87" s="262">
        <v>16325000</v>
      </c>
      <c r="AT87" s="234" t="s">
        <v>75</v>
      </c>
      <c r="AU87" s="236">
        <v>45013</v>
      </c>
      <c r="AV87" s="234" t="s">
        <v>1403</v>
      </c>
      <c r="AW87" s="236">
        <v>45028</v>
      </c>
      <c r="AX87" s="236">
        <v>45291</v>
      </c>
      <c r="AY87" s="244">
        <f t="shared" ref="AY87" si="5">(AX87-AW87)</f>
        <v>263</v>
      </c>
      <c r="AZ87" s="234" t="s">
        <v>1404</v>
      </c>
      <c r="BA87" s="234">
        <v>1018473221</v>
      </c>
      <c r="BB87" s="262"/>
      <c r="BC87" s="263"/>
      <c r="BD87" s="252"/>
      <c r="BE87" s="252"/>
      <c r="BF87" s="252"/>
      <c r="BG87" s="263"/>
      <c r="BH87" s="252"/>
      <c r="BI87" s="263"/>
      <c r="BJ87" s="264">
        <f>([10]!Tabla1[[#This Row],[VALOR TOTAL CONTRATO + VF]]+[10]!Tabla1[[#This Row],[ADICION 1 ]]+[10]!Tabla1[[#This Row],[ADICION 2]]-[10]!Tabla1[[#This Row],[LIBERACION]])</f>
        <v>0</v>
      </c>
      <c r="BK87" s="252"/>
      <c r="BL87" s="263"/>
      <c r="BM87" s="263"/>
      <c r="BN87" s="252"/>
      <c r="BO87" s="252"/>
      <c r="BP87" s="263"/>
      <c r="BQ87" s="252"/>
      <c r="BR87" s="262"/>
      <c r="BS87" s="263"/>
      <c r="BT87" s="234">
        <f t="shared" ref="BT87" si="6">SUM(AY87+BK87+BN87+BQ87)</f>
        <v>263</v>
      </c>
      <c r="BU87" s="263"/>
      <c r="BV87" s="265" t="s">
        <v>881</v>
      </c>
    </row>
    <row r="88" spans="1:74" ht="15" customHeight="1" x14ac:dyDescent="0.25">
      <c r="A88" s="42" t="s">
        <v>459</v>
      </c>
      <c r="B88" s="43" t="s">
        <v>460</v>
      </c>
      <c r="C88" s="44" t="s">
        <v>54</v>
      </c>
      <c r="D88" s="45">
        <v>189</v>
      </c>
      <c r="E88" s="45" t="s">
        <v>55</v>
      </c>
      <c r="F88" s="73" t="s">
        <v>496</v>
      </c>
      <c r="G88" s="45" t="s">
        <v>497</v>
      </c>
      <c r="H88" s="45" t="s">
        <v>127</v>
      </c>
      <c r="I88" s="74">
        <v>44984</v>
      </c>
      <c r="J88" s="45" t="s">
        <v>492</v>
      </c>
      <c r="K88" s="45" t="s">
        <v>493</v>
      </c>
      <c r="L88" s="48" t="s">
        <v>340</v>
      </c>
      <c r="M88" s="73" t="s">
        <v>498</v>
      </c>
      <c r="N88" s="45">
        <v>40101700</v>
      </c>
      <c r="O88" s="48" t="s">
        <v>499</v>
      </c>
      <c r="P88" s="47">
        <v>120000000</v>
      </c>
      <c r="Q88" s="47">
        <v>120000000</v>
      </c>
      <c r="R88" s="45">
        <v>21423</v>
      </c>
      <c r="S88" s="45" t="s">
        <v>500</v>
      </c>
      <c r="T88" s="45" t="s">
        <v>448</v>
      </c>
      <c r="U88" s="45"/>
      <c r="V88" s="45"/>
      <c r="W88" s="45"/>
      <c r="X88" s="45"/>
      <c r="Y88" s="49"/>
      <c r="Z88" s="45"/>
      <c r="AA88" s="45"/>
      <c r="AB88" s="45"/>
      <c r="AC88" s="45"/>
      <c r="AD88" s="45"/>
      <c r="AE88" s="45"/>
      <c r="AF88" s="45"/>
      <c r="AG88" s="45"/>
      <c r="AH88" s="45"/>
      <c r="AI88" s="45"/>
      <c r="AJ88" s="45"/>
      <c r="AK88" s="45"/>
      <c r="AL88" s="50"/>
      <c r="AM88" s="45"/>
      <c r="AN88" s="49"/>
      <c r="AO88" s="47"/>
      <c r="AP88" s="45"/>
      <c r="AQ88" s="45"/>
      <c r="AR88" s="45"/>
      <c r="AS88" s="75"/>
      <c r="AT88" s="45"/>
      <c r="AU88" s="49"/>
      <c r="AV88" s="45"/>
      <c r="AW88" s="49"/>
      <c r="AX88" s="49"/>
      <c r="AY88" s="45">
        <f>(AX88-AW88)</f>
        <v>0</v>
      </c>
      <c r="AZ88" s="45"/>
      <c r="BA88" s="45"/>
      <c r="BB88" s="47"/>
      <c r="BC88" s="49"/>
      <c r="BD88" s="45"/>
      <c r="BE88" s="45"/>
      <c r="BF88" s="45"/>
      <c r="BG88" s="49"/>
      <c r="BH88" s="45"/>
      <c r="BI88" s="49"/>
      <c r="BJ88" s="47"/>
      <c r="BK88" s="45"/>
      <c r="BL88" s="49"/>
      <c r="BM88" s="49"/>
      <c r="BN88" s="45"/>
      <c r="BO88" s="45"/>
      <c r="BP88" s="49"/>
      <c r="BQ88" s="45"/>
      <c r="BR88" s="47"/>
      <c r="BS88" s="49"/>
      <c r="BT88" s="45"/>
      <c r="BU88" s="49"/>
      <c r="BV88" s="52"/>
    </row>
    <row r="89" spans="1:74" ht="15" customHeight="1" x14ac:dyDescent="0.25">
      <c r="A89" s="42" t="s">
        <v>459</v>
      </c>
      <c r="B89" s="43" t="s">
        <v>460</v>
      </c>
      <c r="C89" s="44" t="s">
        <v>54</v>
      </c>
      <c r="D89" s="45">
        <v>280</v>
      </c>
      <c r="E89" s="45" t="s">
        <v>409</v>
      </c>
      <c r="F89" s="73" t="s">
        <v>643</v>
      </c>
      <c r="G89" s="45" t="s">
        <v>644</v>
      </c>
      <c r="H89" s="45" t="s">
        <v>127</v>
      </c>
      <c r="I89" s="74">
        <v>44984</v>
      </c>
      <c r="J89" s="45" t="s">
        <v>534</v>
      </c>
      <c r="K89" s="45" t="s">
        <v>60</v>
      </c>
      <c r="L89" s="45" t="s">
        <v>61</v>
      </c>
      <c r="M89" s="73" t="s">
        <v>645</v>
      </c>
      <c r="N89" s="45" t="s">
        <v>646</v>
      </c>
      <c r="O89" s="48" t="s">
        <v>647</v>
      </c>
      <c r="P89" s="47">
        <v>52000000</v>
      </c>
      <c r="Q89" s="47">
        <v>52000000</v>
      </c>
      <c r="R89" s="45">
        <v>24523</v>
      </c>
      <c r="S89" s="45" t="s">
        <v>648</v>
      </c>
      <c r="T89" s="45" t="s">
        <v>133</v>
      </c>
      <c r="U89" s="45"/>
      <c r="V89" s="45"/>
      <c r="W89" s="45"/>
      <c r="X89" s="45"/>
      <c r="Y89" s="46"/>
      <c r="Z89" s="45"/>
      <c r="AA89" s="45"/>
      <c r="AB89" s="45" t="s">
        <v>68</v>
      </c>
      <c r="AC89" s="45" t="s">
        <v>69</v>
      </c>
      <c r="AD89" s="45"/>
      <c r="AE89" s="45"/>
      <c r="AF89" s="45"/>
      <c r="AG89" s="45"/>
      <c r="AH89" s="45"/>
      <c r="AI89" s="45"/>
      <c r="AJ89" s="45"/>
      <c r="AK89" s="45"/>
      <c r="AL89" s="50"/>
      <c r="AM89" s="45"/>
      <c r="AN89" s="49"/>
      <c r="AO89" s="47"/>
      <c r="AP89" s="45"/>
      <c r="AQ89" s="45"/>
      <c r="AR89" s="45"/>
      <c r="AS89" s="51">
        <f>SUM(AO89+AP89+AQ89+AR89)</f>
        <v>0</v>
      </c>
      <c r="AT89" s="45"/>
      <c r="AU89" s="49"/>
      <c r="AV89" s="45"/>
      <c r="AW89" s="49"/>
      <c r="AX89" s="49"/>
      <c r="AY89" s="45"/>
      <c r="AZ89" s="45"/>
      <c r="BA89" s="45"/>
      <c r="BB89" s="47"/>
      <c r="BC89" s="49"/>
      <c r="BD89" s="45"/>
      <c r="BE89" s="45"/>
      <c r="BF89" s="45"/>
      <c r="BG89" s="49"/>
      <c r="BH89" s="45"/>
      <c r="BI89" s="49"/>
      <c r="BJ89" s="47" t="e">
        <v>#VALUE!</v>
      </c>
      <c r="BK89" s="45"/>
      <c r="BL89" s="49"/>
      <c r="BM89" s="49"/>
      <c r="BN89" s="45"/>
      <c r="BO89" s="45"/>
      <c r="BP89" s="49"/>
      <c r="BQ89" s="45"/>
      <c r="BR89" s="47"/>
      <c r="BS89" s="49"/>
      <c r="BT89" s="45">
        <v>0</v>
      </c>
      <c r="BU89" s="49"/>
      <c r="BV89" s="52"/>
    </row>
    <row r="90" spans="1:74" ht="15" customHeight="1" x14ac:dyDescent="0.25">
      <c r="A90" s="42" t="s">
        <v>459</v>
      </c>
      <c r="B90" s="43" t="s">
        <v>460</v>
      </c>
      <c r="C90" s="44" t="s">
        <v>54</v>
      </c>
      <c r="D90" s="45">
        <v>169</v>
      </c>
      <c r="E90" s="45" t="s">
        <v>55</v>
      </c>
      <c r="F90" s="45" t="s">
        <v>501</v>
      </c>
      <c r="G90" s="45" t="s">
        <v>502</v>
      </c>
      <c r="H90" s="45" t="s">
        <v>127</v>
      </c>
      <c r="I90" s="74">
        <v>44985</v>
      </c>
      <c r="J90" s="45" t="s">
        <v>503</v>
      </c>
      <c r="K90" s="45" t="s">
        <v>503</v>
      </c>
      <c r="L90" s="48" t="s">
        <v>340</v>
      </c>
      <c r="M90" s="45" t="s">
        <v>504</v>
      </c>
      <c r="N90" s="45">
        <v>84131500</v>
      </c>
      <c r="O90" s="48" t="s">
        <v>505</v>
      </c>
      <c r="P90" s="47">
        <v>2185740000</v>
      </c>
      <c r="Q90" s="47">
        <v>1267351148</v>
      </c>
      <c r="R90" s="45" t="s">
        <v>506</v>
      </c>
      <c r="S90" s="45" t="s">
        <v>507</v>
      </c>
      <c r="T90" s="45" t="s">
        <v>448</v>
      </c>
      <c r="U90" s="45"/>
      <c r="V90" s="45"/>
      <c r="W90" s="45"/>
      <c r="X90" s="45"/>
      <c r="Y90" s="49"/>
      <c r="Z90" s="45"/>
      <c r="AA90" s="45"/>
      <c r="AB90" s="45"/>
      <c r="AC90" s="45"/>
      <c r="AD90" s="45"/>
      <c r="AE90" s="45"/>
      <c r="AF90" s="45"/>
      <c r="AG90" s="45"/>
      <c r="AH90" s="45"/>
      <c r="AI90" s="45"/>
      <c r="AJ90" s="45"/>
      <c r="AK90" s="45"/>
      <c r="AL90" s="50"/>
      <c r="AM90" s="45"/>
      <c r="AN90" s="49"/>
      <c r="AO90" s="47"/>
      <c r="AP90" s="45"/>
      <c r="AQ90" s="45"/>
      <c r="AR90" s="45"/>
      <c r="AS90" s="75"/>
      <c r="AT90" s="45"/>
      <c r="AU90" s="49"/>
      <c r="AV90" s="45"/>
      <c r="AW90" s="49"/>
      <c r="AX90" s="49"/>
      <c r="AY90" s="44">
        <f t="shared" ref="AY90:AY97" si="7">(AX90-AW90)</f>
        <v>0</v>
      </c>
      <c r="AZ90" s="45"/>
      <c r="BA90" s="45"/>
      <c r="BB90" s="47"/>
      <c r="BC90" s="49"/>
      <c r="BD90" s="45"/>
      <c r="BE90" s="45"/>
      <c r="BF90" s="45"/>
      <c r="BG90" s="49"/>
      <c r="BH90" s="45"/>
      <c r="BI90" s="49"/>
      <c r="BJ90" s="47"/>
      <c r="BK90" s="45"/>
      <c r="BL90" s="49"/>
      <c r="BM90" s="49"/>
      <c r="BN90" s="45"/>
      <c r="BO90" s="45"/>
      <c r="BP90" s="49"/>
      <c r="BQ90" s="45"/>
      <c r="BR90" s="47"/>
      <c r="BS90" s="49"/>
      <c r="BT90" s="45"/>
      <c r="BU90" s="49"/>
      <c r="BV90" s="52"/>
    </row>
    <row r="91" spans="1:74" ht="15" customHeight="1" x14ac:dyDescent="0.25">
      <c r="A91" s="42" t="s">
        <v>459</v>
      </c>
      <c r="B91" s="43" t="s">
        <v>460</v>
      </c>
      <c r="C91" s="44" t="s">
        <v>54</v>
      </c>
      <c r="D91" s="45">
        <v>269</v>
      </c>
      <c r="E91" s="45" t="s">
        <v>55</v>
      </c>
      <c r="F91" s="73" t="s">
        <v>728</v>
      </c>
      <c r="G91" s="45" t="s">
        <v>729</v>
      </c>
      <c r="H91" s="45" t="s">
        <v>127</v>
      </c>
      <c r="I91" s="74">
        <v>44985</v>
      </c>
      <c r="J91" s="45" t="s">
        <v>492</v>
      </c>
      <c r="K91" s="45" t="s">
        <v>730</v>
      </c>
      <c r="L91" s="45" t="s">
        <v>731</v>
      </c>
      <c r="M91" s="73" t="s">
        <v>732</v>
      </c>
      <c r="N91" s="45"/>
      <c r="O91" s="45"/>
      <c r="P91" s="47">
        <v>90000000</v>
      </c>
      <c r="Q91" s="47">
        <v>90000000</v>
      </c>
      <c r="R91" s="45"/>
      <c r="S91" s="45"/>
      <c r="T91" s="45" t="s">
        <v>64</v>
      </c>
      <c r="U91" s="45" t="s">
        <v>65</v>
      </c>
      <c r="V91" s="72"/>
      <c r="W91" s="45" t="s">
        <v>817</v>
      </c>
      <c r="X91" s="45" t="s">
        <v>771</v>
      </c>
      <c r="Y91" s="74">
        <v>44991</v>
      </c>
      <c r="Z91" s="45" t="s">
        <v>818</v>
      </c>
      <c r="AA91" s="45"/>
      <c r="AB91" s="45" t="s">
        <v>68</v>
      </c>
      <c r="AC91" s="45" t="s">
        <v>69</v>
      </c>
      <c r="AD91" s="45" t="s">
        <v>819</v>
      </c>
      <c r="AE91" s="45">
        <v>830077380</v>
      </c>
      <c r="AF91" s="45">
        <v>6</v>
      </c>
      <c r="AG91" s="45"/>
      <c r="AH91" s="45"/>
      <c r="AI91" s="45"/>
      <c r="AJ91" s="45"/>
      <c r="AK91" s="45"/>
      <c r="AL91" s="50">
        <f ca="1">+YEAR(TODAY())-YEAR(Tabla13[[#This Row],[FECHA DE NACIMIENTO]])</f>
        <v>123</v>
      </c>
      <c r="AM91" s="45">
        <v>46823</v>
      </c>
      <c r="AN91" s="74">
        <v>44965</v>
      </c>
      <c r="AO91" s="47">
        <v>1468821137.8</v>
      </c>
      <c r="AP91" s="45"/>
      <c r="AQ91" s="45"/>
      <c r="AR91" s="45"/>
      <c r="AS91" s="51">
        <v>1468821137.8</v>
      </c>
      <c r="AT91" s="45" t="s">
        <v>75</v>
      </c>
      <c r="AU91" s="74">
        <v>44993</v>
      </c>
      <c r="AV91" s="45" t="s">
        <v>74</v>
      </c>
      <c r="AW91" s="74">
        <v>44993</v>
      </c>
      <c r="AX91" s="74">
        <v>45291</v>
      </c>
      <c r="AY91" s="45">
        <f t="shared" si="7"/>
        <v>298</v>
      </c>
      <c r="AZ91" s="45" t="s">
        <v>92</v>
      </c>
      <c r="BA91" s="45">
        <v>19498970</v>
      </c>
      <c r="BB91" s="47"/>
      <c r="BC91" s="49"/>
      <c r="BD91" s="45"/>
      <c r="BE91" s="45"/>
      <c r="BF91" s="45"/>
      <c r="BG91" s="49"/>
      <c r="BH91" s="45"/>
      <c r="BI91" s="49"/>
      <c r="BJ91" s="47"/>
      <c r="BK91" s="45"/>
      <c r="BL91" s="49"/>
      <c r="BM91" s="49"/>
      <c r="BN91" s="45"/>
      <c r="BO91" s="45"/>
      <c r="BP91" s="49"/>
      <c r="BQ91" s="45"/>
      <c r="BR91" s="47"/>
      <c r="BS91" s="49"/>
      <c r="BT91" s="45"/>
      <c r="BU91" s="49"/>
      <c r="BV91" s="52"/>
    </row>
    <row r="92" spans="1:74" ht="15" customHeight="1" x14ac:dyDescent="0.25">
      <c r="A92" s="42" t="s">
        <v>459</v>
      </c>
      <c r="B92" s="43" t="s">
        <v>460</v>
      </c>
      <c r="C92" s="44" t="s">
        <v>54</v>
      </c>
      <c r="D92" s="48">
        <v>35</v>
      </c>
      <c r="E92" s="45" t="s">
        <v>221</v>
      </c>
      <c r="F92" s="76" t="s">
        <v>518</v>
      </c>
      <c r="G92" s="45" t="s">
        <v>519</v>
      </c>
      <c r="H92" s="45" t="s">
        <v>127</v>
      </c>
      <c r="I92" s="74">
        <v>44985</v>
      </c>
      <c r="J92" s="48" t="s">
        <v>59</v>
      </c>
      <c r="K92" s="48" t="s">
        <v>330</v>
      </c>
      <c r="L92" s="45" t="s">
        <v>99</v>
      </c>
      <c r="M92" s="73" t="s">
        <v>520</v>
      </c>
      <c r="N92" s="45">
        <v>82121506</v>
      </c>
      <c r="O92" s="45" t="s">
        <v>521</v>
      </c>
      <c r="P92" s="56">
        <v>5000000</v>
      </c>
      <c r="Q92" s="56">
        <v>5000000</v>
      </c>
      <c r="R92" s="45">
        <v>24823</v>
      </c>
      <c r="S92" s="45" t="s">
        <v>63</v>
      </c>
      <c r="T92" s="45" t="s">
        <v>64</v>
      </c>
      <c r="U92" s="45" t="s">
        <v>65</v>
      </c>
      <c r="V92" s="45"/>
      <c r="W92" s="45" t="s">
        <v>894</v>
      </c>
      <c r="X92" s="45" t="s">
        <v>771</v>
      </c>
      <c r="Y92" s="74">
        <v>45002</v>
      </c>
      <c r="Z92" s="45" t="s">
        <v>67</v>
      </c>
      <c r="AA92" s="45"/>
      <c r="AB92" s="45" t="s">
        <v>68</v>
      </c>
      <c r="AC92" s="45" t="s">
        <v>69</v>
      </c>
      <c r="AD92" s="45" t="s">
        <v>895</v>
      </c>
      <c r="AE92" s="45">
        <v>901017183</v>
      </c>
      <c r="AF92" s="45">
        <v>2</v>
      </c>
      <c r="AG92" s="48" t="s">
        <v>517</v>
      </c>
      <c r="AH92" s="45" t="s">
        <v>551</v>
      </c>
      <c r="AI92" s="45" t="s">
        <v>467</v>
      </c>
      <c r="AJ92" s="78" t="s">
        <v>876</v>
      </c>
      <c r="AK92" s="50" t="s">
        <v>517</v>
      </c>
      <c r="AL92" s="50" t="s">
        <v>517</v>
      </c>
      <c r="AM92" s="48">
        <v>57623</v>
      </c>
      <c r="AN92" s="74">
        <v>45002</v>
      </c>
      <c r="AO92" s="47">
        <v>5000000</v>
      </c>
      <c r="AP92" s="45"/>
      <c r="AQ92" s="45"/>
      <c r="AR92" s="45"/>
      <c r="AS92" s="47">
        <v>5000000</v>
      </c>
      <c r="AT92" s="45" t="s">
        <v>478</v>
      </c>
      <c r="AU92" s="48" t="s">
        <v>517</v>
      </c>
      <c r="AV92" s="48" t="s">
        <v>517</v>
      </c>
      <c r="AW92" s="74">
        <v>45006</v>
      </c>
      <c r="AX92" s="74">
        <v>45291</v>
      </c>
      <c r="AY92" s="45">
        <f t="shared" si="7"/>
        <v>285</v>
      </c>
      <c r="AZ92" s="45" t="s">
        <v>178</v>
      </c>
      <c r="BA92" s="45">
        <v>39757630</v>
      </c>
      <c r="BB92" s="47"/>
      <c r="BC92" s="49"/>
      <c r="BD92" s="45"/>
      <c r="BE92" s="45"/>
      <c r="BF92" s="45"/>
      <c r="BG92" s="49"/>
      <c r="BH92" s="45"/>
      <c r="BI92" s="49"/>
      <c r="BJ92" s="47" t="e">
        <f>([3]!Tabla1[[#This Row],[VALOR TOTAL CONTRATO + VF]]+[3]!Tabla1[[#This Row],[ADICION 1 ]]+[3]!Tabla1[[#This Row],[ADICION 2]]-[3]!Tabla1[[#This Row],[LIBERACION]])</f>
        <v>#REF!</v>
      </c>
      <c r="BK92" s="45"/>
      <c r="BL92" s="49"/>
      <c r="BM92" s="49"/>
      <c r="BN92" s="45"/>
      <c r="BO92" s="45"/>
      <c r="BP92" s="49"/>
      <c r="BQ92" s="45"/>
      <c r="BR92" s="47"/>
      <c r="BS92" s="49"/>
      <c r="BT92" s="45">
        <f t="shared" ref="BT92:BT97" si="8">SUM(AY92+BK92+BN92+BQ92)</f>
        <v>285</v>
      </c>
      <c r="BU92" s="49"/>
      <c r="BV92" s="52"/>
    </row>
    <row r="93" spans="1:74" s="91" customFormat="1" ht="15" customHeight="1" x14ac:dyDescent="0.25">
      <c r="A93" s="79" t="s">
        <v>459</v>
      </c>
      <c r="B93" s="80" t="s">
        <v>460</v>
      </c>
      <c r="C93" s="81" t="s">
        <v>54</v>
      </c>
      <c r="D93" s="82">
        <v>71</v>
      </c>
      <c r="E93" s="82" t="s">
        <v>221</v>
      </c>
      <c r="F93" s="83" t="s">
        <v>532</v>
      </c>
      <c r="G93" s="82" t="s">
        <v>533</v>
      </c>
      <c r="H93" s="82" t="s">
        <v>127</v>
      </c>
      <c r="I93" s="84">
        <v>44985</v>
      </c>
      <c r="J93" s="82" t="s">
        <v>534</v>
      </c>
      <c r="K93" s="82" t="s">
        <v>60</v>
      </c>
      <c r="L93" s="82" t="s">
        <v>86</v>
      </c>
      <c r="M93" s="83" t="s">
        <v>535</v>
      </c>
      <c r="N93" s="82">
        <v>72103302</v>
      </c>
      <c r="O93" s="85" t="s">
        <v>536</v>
      </c>
      <c r="P93" s="86">
        <v>11800000</v>
      </c>
      <c r="Q93" s="86">
        <v>11800000</v>
      </c>
      <c r="R93" s="82">
        <v>22723</v>
      </c>
      <c r="S93" s="82" t="s">
        <v>89</v>
      </c>
      <c r="T93" s="82" t="s">
        <v>64</v>
      </c>
      <c r="U93" s="82" t="s">
        <v>65</v>
      </c>
      <c r="V93" s="82"/>
      <c r="W93" s="82" t="s">
        <v>1245</v>
      </c>
      <c r="X93" s="82" t="s">
        <v>1159</v>
      </c>
      <c r="Y93" s="84">
        <v>45027</v>
      </c>
      <c r="Z93" s="82" t="s">
        <v>1233</v>
      </c>
      <c r="AA93" s="82"/>
      <c r="AB93" s="82" t="s">
        <v>68</v>
      </c>
      <c r="AC93" s="82" t="s">
        <v>69</v>
      </c>
      <c r="AD93" s="82" t="s">
        <v>1246</v>
      </c>
      <c r="AE93" s="82">
        <v>900098348</v>
      </c>
      <c r="AF93" s="82">
        <v>3</v>
      </c>
      <c r="AG93" s="85" t="s">
        <v>517</v>
      </c>
      <c r="AH93" s="82" t="s">
        <v>297</v>
      </c>
      <c r="AI93" s="85" t="s">
        <v>517</v>
      </c>
      <c r="AJ93" s="87" t="s">
        <v>876</v>
      </c>
      <c r="AK93" s="88" t="s">
        <v>517</v>
      </c>
      <c r="AL93" s="88" t="s">
        <v>517</v>
      </c>
      <c r="AM93" s="82">
        <v>69623</v>
      </c>
      <c r="AN93" s="84">
        <v>45028</v>
      </c>
      <c r="AO93" s="86">
        <v>7186316</v>
      </c>
      <c r="AP93" s="82"/>
      <c r="AQ93" s="82"/>
      <c r="AR93" s="82"/>
      <c r="AS93" s="86">
        <v>7186316</v>
      </c>
      <c r="AT93" s="82" t="s">
        <v>75</v>
      </c>
      <c r="AU93" s="84">
        <v>45019</v>
      </c>
      <c r="AV93" s="82" t="s">
        <v>900</v>
      </c>
      <c r="AW93" s="84">
        <v>45028</v>
      </c>
      <c r="AX93" s="84">
        <v>45291</v>
      </c>
      <c r="AY93" s="82">
        <f t="shared" si="7"/>
        <v>263</v>
      </c>
      <c r="AZ93" s="82" t="s">
        <v>92</v>
      </c>
      <c r="BA93" s="82">
        <v>19498970</v>
      </c>
      <c r="BB93" s="86"/>
      <c r="BC93" s="89"/>
      <c r="BD93" s="82"/>
      <c r="BE93" s="82"/>
      <c r="BF93" s="82"/>
      <c r="BG93" s="89"/>
      <c r="BH93" s="82"/>
      <c r="BI93" s="89"/>
      <c r="BJ93" s="86" t="e">
        <f>([4]!Tabla1[[#This Row],[VALOR TOTAL CONTRATO + VF]]+[4]!Tabla1[[#This Row],[ADICION 1 ]]+[4]!Tabla1[[#This Row],[ADICION 2]]-[4]!Tabla1[[#This Row],[LIBERACION]])</f>
        <v>#REF!</v>
      </c>
      <c r="BK93" s="82"/>
      <c r="BL93" s="89"/>
      <c r="BM93" s="89"/>
      <c r="BN93" s="82"/>
      <c r="BO93" s="82"/>
      <c r="BP93" s="89"/>
      <c r="BQ93" s="82"/>
      <c r="BR93" s="86"/>
      <c r="BS93" s="89"/>
      <c r="BT93" s="82">
        <f t="shared" si="8"/>
        <v>263</v>
      </c>
      <c r="BU93" s="89"/>
      <c r="BV93" s="90"/>
    </row>
    <row r="94" spans="1:74" s="91" customFormat="1" ht="15" customHeight="1" x14ac:dyDescent="0.25">
      <c r="A94" s="79" t="s">
        <v>459</v>
      </c>
      <c r="B94" s="80" t="s">
        <v>460</v>
      </c>
      <c r="C94" s="81" t="s">
        <v>54</v>
      </c>
      <c r="D94" s="82">
        <v>198</v>
      </c>
      <c r="E94" s="82" t="s">
        <v>221</v>
      </c>
      <c r="F94" s="83" t="s">
        <v>537</v>
      </c>
      <c r="G94" s="82" t="s">
        <v>538</v>
      </c>
      <c r="H94" s="82" t="s">
        <v>127</v>
      </c>
      <c r="I94" s="84">
        <v>44985</v>
      </c>
      <c r="J94" s="82" t="s">
        <v>534</v>
      </c>
      <c r="K94" s="82" t="s">
        <v>60</v>
      </c>
      <c r="L94" s="82" t="s">
        <v>61</v>
      </c>
      <c r="M94" s="83" t="s">
        <v>539</v>
      </c>
      <c r="N94" s="82">
        <v>40151510</v>
      </c>
      <c r="O94" s="85" t="s">
        <v>540</v>
      </c>
      <c r="P94" s="86">
        <v>40000000</v>
      </c>
      <c r="Q94" s="86">
        <v>40000000</v>
      </c>
      <c r="R94" s="82">
        <v>21323</v>
      </c>
      <c r="S94" s="82" t="s">
        <v>500</v>
      </c>
      <c r="T94" s="82" t="s">
        <v>64</v>
      </c>
      <c r="U94" s="82" t="s">
        <v>65</v>
      </c>
      <c r="V94" s="82"/>
      <c r="W94" s="82" t="s">
        <v>1247</v>
      </c>
      <c r="X94" s="82" t="s">
        <v>1159</v>
      </c>
      <c r="Y94" s="84">
        <v>45027</v>
      </c>
      <c r="Z94" s="82" t="s">
        <v>1233</v>
      </c>
      <c r="AA94" s="82"/>
      <c r="AB94" s="82" t="s">
        <v>68</v>
      </c>
      <c r="AC94" s="82" t="s">
        <v>69</v>
      </c>
      <c r="AD94" s="82" t="s">
        <v>1248</v>
      </c>
      <c r="AE94" s="82">
        <v>901520694</v>
      </c>
      <c r="AF94" s="82">
        <v>0</v>
      </c>
      <c r="AG94" s="85" t="s">
        <v>517</v>
      </c>
      <c r="AH94" s="82" t="s">
        <v>297</v>
      </c>
      <c r="AI94" s="82" t="s">
        <v>465</v>
      </c>
      <c r="AJ94" s="87" t="s">
        <v>876</v>
      </c>
      <c r="AK94" s="88" t="s">
        <v>517</v>
      </c>
      <c r="AL94" s="88" t="s">
        <v>517</v>
      </c>
      <c r="AM94" s="82">
        <v>69023</v>
      </c>
      <c r="AN94" s="84">
        <v>45028</v>
      </c>
      <c r="AO94" s="86">
        <v>40000000</v>
      </c>
      <c r="AP94" s="82"/>
      <c r="AQ94" s="82"/>
      <c r="AR94" s="82"/>
      <c r="AS94" s="86">
        <v>40000000</v>
      </c>
      <c r="AT94" s="82" t="s">
        <v>75</v>
      </c>
      <c r="AU94" s="84">
        <v>45028</v>
      </c>
      <c r="AV94" s="82" t="s">
        <v>900</v>
      </c>
      <c r="AW94" s="84">
        <v>45034</v>
      </c>
      <c r="AX94" s="84">
        <v>45291</v>
      </c>
      <c r="AY94" s="82">
        <f t="shared" si="7"/>
        <v>257</v>
      </c>
      <c r="AZ94" s="82" t="s">
        <v>1249</v>
      </c>
      <c r="BA94" s="82">
        <v>1070618478</v>
      </c>
      <c r="BB94" s="86"/>
      <c r="BC94" s="89"/>
      <c r="BD94" s="82"/>
      <c r="BE94" s="82"/>
      <c r="BF94" s="82"/>
      <c r="BG94" s="89"/>
      <c r="BH94" s="82"/>
      <c r="BI94" s="89"/>
      <c r="BJ94" s="86" t="e">
        <f>([4]!Tabla1[[#This Row],[VALOR TOTAL CONTRATO + VF]]+[4]!Tabla1[[#This Row],[ADICION 1 ]]+[4]!Tabla1[[#This Row],[ADICION 2]]-[4]!Tabla1[[#This Row],[LIBERACION]])</f>
        <v>#REF!</v>
      </c>
      <c r="BK94" s="82"/>
      <c r="BL94" s="89"/>
      <c r="BM94" s="89"/>
      <c r="BN94" s="82"/>
      <c r="BO94" s="82"/>
      <c r="BP94" s="89"/>
      <c r="BQ94" s="82"/>
      <c r="BR94" s="86"/>
      <c r="BS94" s="89"/>
      <c r="BT94" s="82">
        <f t="shared" si="8"/>
        <v>257</v>
      </c>
      <c r="BU94" s="89"/>
      <c r="BV94" s="90"/>
    </row>
    <row r="95" spans="1:74" ht="15" customHeight="1" x14ac:dyDescent="0.25">
      <c r="A95" s="42" t="s">
        <v>459</v>
      </c>
      <c r="B95" s="43" t="s">
        <v>460</v>
      </c>
      <c r="C95" s="44" t="s">
        <v>54</v>
      </c>
      <c r="D95" s="48">
        <v>228</v>
      </c>
      <c r="E95" s="45" t="s">
        <v>221</v>
      </c>
      <c r="F95" s="76" t="s">
        <v>565</v>
      </c>
      <c r="G95" s="45" t="s">
        <v>566</v>
      </c>
      <c r="H95" s="45" t="s">
        <v>127</v>
      </c>
      <c r="I95" s="74">
        <v>44985</v>
      </c>
      <c r="J95" s="48" t="s">
        <v>59</v>
      </c>
      <c r="K95" s="48" t="s">
        <v>330</v>
      </c>
      <c r="L95" s="45" t="s">
        <v>86</v>
      </c>
      <c r="M95" s="73" t="s">
        <v>567</v>
      </c>
      <c r="N95" s="45">
        <v>30171510</v>
      </c>
      <c r="O95" s="45" t="s">
        <v>568</v>
      </c>
      <c r="P95" s="56">
        <v>1814000000</v>
      </c>
      <c r="Q95" s="56">
        <v>1710773000</v>
      </c>
      <c r="R95" s="45">
        <v>23023</v>
      </c>
      <c r="S95" s="45" t="s">
        <v>89</v>
      </c>
      <c r="T95" s="45" t="s">
        <v>64</v>
      </c>
      <c r="U95" s="45" t="s">
        <v>65</v>
      </c>
      <c r="V95" s="45"/>
      <c r="W95" s="45" t="s">
        <v>879</v>
      </c>
      <c r="X95" s="45" t="s">
        <v>771</v>
      </c>
      <c r="Y95" s="46">
        <v>45008</v>
      </c>
      <c r="Z95" s="92" t="s">
        <v>863</v>
      </c>
      <c r="AA95" s="45"/>
      <c r="AB95" s="45" t="s">
        <v>68</v>
      </c>
      <c r="AC95" s="45" t="s">
        <v>69</v>
      </c>
      <c r="AD95" s="45" t="s">
        <v>880</v>
      </c>
      <c r="AE95" s="45">
        <v>900075980</v>
      </c>
      <c r="AF95" s="45">
        <v>1</v>
      </c>
      <c r="AG95" s="48" t="s">
        <v>517</v>
      </c>
      <c r="AH95" s="45" t="s">
        <v>297</v>
      </c>
      <c r="AI95" s="45" t="s">
        <v>466</v>
      </c>
      <c r="AJ95" s="78" t="s">
        <v>876</v>
      </c>
      <c r="AK95" s="50" t="s">
        <v>517</v>
      </c>
      <c r="AL95" s="50" t="s">
        <v>517</v>
      </c>
      <c r="AM95" s="45">
        <v>60023</v>
      </c>
      <c r="AN95" s="74">
        <v>45008</v>
      </c>
      <c r="AO95" s="47">
        <v>1710772983</v>
      </c>
      <c r="AP95" s="45"/>
      <c r="AQ95" s="45"/>
      <c r="AR95" s="45"/>
      <c r="AS95" s="47">
        <v>1710772983</v>
      </c>
      <c r="AT95" s="45" t="s">
        <v>75</v>
      </c>
      <c r="AU95" s="74"/>
      <c r="AV95" s="45"/>
      <c r="AW95" s="74"/>
      <c r="AX95" s="74"/>
      <c r="AY95" s="45">
        <f t="shared" si="7"/>
        <v>0</v>
      </c>
      <c r="AZ95" s="45" t="s">
        <v>92</v>
      </c>
      <c r="BA95" s="45">
        <v>19498970</v>
      </c>
      <c r="BB95" s="47"/>
      <c r="BC95" s="49"/>
      <c r="BD95" s="45"/>
      <c r="BE95" s="45"/>
      <c r="BF95" s="45"/>
      <c r="BG95" s="49"/>
      <c r="BH95" s="45"/>
      <c r="BI95" s="49"/>
      <c r="BJ95" s="47" t="e">
        <f>([3]!Tabla1[[#This Row],[VALOR TOTAL CONTRATO + VF]]+[3]!Tabla1[[#This Row],[ADICION 1 ]]+[3]!Tabla1[[#This Row],[ADICION 2]]-[3]!Tabla1[[#This Row],[LIBERACION]])</f>
        <v>#REF!</v>
      </c>
      <c r="BK95" s="45"/>
      <c r="BL95" s="49"/>
      <c r="BM95" s="49"/>
      <c r="BN95" s="45"/>
      <c r="BO95" s="45"/>
      <c r="BP95" s="49"/>
      <c r="BQ95" s="45"/>
      <c r="BR95" s="47"/>
      <c r="BS95" s="49"/>
      <c r="BT95" s="45">
        <f t="shared" si="8"/>
        <v>0</v>
      </c>
      <c r="BU95" s="49"/>
      <c r="BV95" s="52" t="s">
        <v>881</v>
      </c>
    </row>
    <row r="96" spans="1:74" ht="15" customHeight="1" x14ac:dyDescent="0.25">
      <c r="A96" s="42" t="s">
        <v>459</v>
      </c>
      <c r="B96" s="43" t="s">
        <v>460</v>
      </c>
      <c r="C96" s="44" t="s">
        <v>54</v>
      </c>
      <c r="D96" s="48">
        <v>233</v>
      </c>
      <c r="E96" s="45" t="s">
        <v>221</v>
      </c>
      <c r="F96" s="76" t="s">
        <v>569</v>
      </c>
      <c r="G96" s="45" t="s">
        <v>570</v>
      </c>
      <c r="H96" s="45" t="s">
        <v>127</v>
      </c>
      <c r="I96" s="74">
        <v>44985</v>
      </c>
      <c r="J96" s="45" t="s">
        <v>534</v>
      </c>
      <c r="K96" s="45" t="s">
        <v>60</v>
      </c>
      <c r="L96" s="48" t="s">
        <v>313</v>
      </c>
      <c r="M96" s="73" t="s">
        <v>571</v>
      </c>
      <c r="N96" s="45" t="s">
        <v>572</v>
      </c>
      <c r="O96" s="45" t="s">
        <v>573</v>
      </c>
      <c r="P96" s="56">
        <v>16414056.75</v>
      </c>
      <c r="Q96" s="56">
        <v>16414056.75</v>
      </c>
      <c r="R96" s="45">
        <v>21523</v>
      </c>
      <c r="S96" s="45" t="s">
        <v>89</v>
      </c>
      <c r="T96" s="45" t="s">
        <v>64</v>
      </c>
      <c r="U96" s="45" t="s">
        <v>65</v>
      </c>
      <c r="V96" s="45"/>
      <c r="W96" s="45" t="s">
        <v>882</v>
      </c>
      <c r="X96" s="45" t="s">
        <v>771</v>
      </c>
      <c r="Y96" s="46">
        <v>45015</v>
      </c>
      <c r="Z96" s="45" t="s">
        <v>60</v>
      </c>
      <c r="AA96" s="45"/>
      <c r="AB96" s="45" t="s">
        <v>68</v>
      </c>
      <c r="AC96" s="45" t="s">
        <v>69</v>
      </c>
      <c r="AD96" s="45" t="s">
        <v>883</v>
      </c>
      <c r="AE96" s="45">
        <v>830067880</v>
      </c>
      <c r="AF96" s="45">
        <v>4</v>
      </c>
      <c r="AG96" s="48" t="s">
        <v>517</v>
      </c>
      <c r="AH96" s="45" t="s">
        <v>297</v>
      </c>
      <c r="AI96" s="48" t="s">
        <v>517</v>
      </c>
      <c r="AJ96" s="78" t="s">
        <v>876</v>
      </c>
      <c r="AK96" s="50" t="s">
        <v>517</v>
      </c>
      <c r="AL96" s="50" t="s">
        <v>517</v>
      </c>
      <c r="AM96" s="45">
        <v>68126</v>
      </c>
      <c r="AN96" s="74">
        <v>45027</v>
      </c>
      <c r="AO96" s="47">
        <v>16231600</v>
      </c>
      <c r="AP96" s="45"/>
      <c r="AQ96" s="45"/>
      <c r="AR96" s="45"/>
      <c r="AS96" s="47">
        <v>16231600</v>
      </c>
      <c r="AT96" s="45" t="s">
        <v>75</v>
      </c>
      <c r="AU96" s="74">
        <v>45026</v>
      </c>
      <c r="AV96" s="45" t="s">
        <v>900</v>
      </c>
      <c r="AW96" s="74">
        <v>45027</v>
      </c>
      <c r="AX96" s="74">
        <v>45291</v>
      </c>
      <c r="AY96" s="45">
        <f t="shared" si="7"/>
        <v>264</v>
      </c>
      <c r="AZ96" s="45" t="s">
        <v>878</v>
      </c>
      <c r="BA96" s="45">
        <v>75035031</v>
      </c>
      <c r="BB96" s="47"/>
      <c r="BC96" s="49"/>
      <c r="BD96" s="45"/>
      <c r="BE96" s="45"/>
      <c r="BF96" s="45"/>
      <c r="BG96" s="49"/>
      <c r="BH96" s="45"/>
      <c r="BI96" s="49"/>
      <c r="BJ96" s="47" t="e">
        <f>([4]!Tabla1[[#This Row],[VALOR TOTAL CONTRATO + VF]]+[4]!Tabla1[[#This Row],[ADICION 1 ]]+[4]!Tabla1[[#This Row],[ADICION 2]]-[4]!Tabla1[[#This Row],[LIBERACION]])</f>
        <v>#REF!</v>
      </c>
      <c r="BK96" s="45"/>
      <c r="BL96" s="49"/>
      <c r="BM96" s="49"/>
      <c r="BN96" s="45"/>
      <c r="BO96" s="45"/>
      <c r="BP96" s="49"/>
      <c r="BQ96" s="45"/>
      <c r="BR96" s="47"/>
      <c r="BS96" s="49"/>
      <c r="BT96" s="45">
        <f t="shared" si="8"/>
        <v>264</v>
      </c>
      <c r="BU96" s="49"/>
      <c r="BV96" s="52"/>
    </row>
    <row r="97" spans="1:74" ht="15" customHeight="1" x14ac:dyDescent="0.25">
      <c r="A97" s="42" t="s">
        <v>459</v>
      </c>
      <c r="B97" s="43" t="s">
        <v>460</v>
      </c>
      <c r="C97" s="44" t="s">
        <v>54</v>
      </c>
      <c r="D97" s="48">
        <v>281</v>
      </c>
      <c r="E97" s="45" t="s">
        <v>221</v>
      </c>
      <c r="F97" s="76" t="s">
        <v>598</v>
      </c>
      <c r="G97" s="61" t="s">
        <v>599</v>
      </c>
      <c r="H97" s="45" t="s">
        <v>127</v>
      </c>
      <c r="I97" s="74">
        <v>44985</v>
      </c>
      <c r="J97" s="48" t="s">
        <v>59</v>
      </c>
      <c r="K97" s="48" t="s">
        <v>330</v>
      </c>
      <c r="L97" s="48" t="s">
        <v>313</v>
      </c>
      <c r="M97" s="73" t="s">
        <v>331</v>
      </c>
      <c r="N97" s="45">
        <v>73152100</v>
      </c>
      <c r="O97" s="45" t="s">
        <v>600</v>
      </c>
      <c r="P97" s="56">
        <v>16275000</v>
      </c>
      <c r="Q97" s="56">
        <v>16275000</v>
      </c>
      <c r="R97" s="48">
        <v>13023</v>
      </c>
      <c r="S97" s="45" t="s">
        <v>89</v>
      </c>
      <c r="T97" s="45" t="s">
        <v>64</v>
      </c>
      <c r="U97" s="45" t="s">
        <v>65</v>
      </c>
      <c r="V97" s="45"/>
      <c r="W97" s="61" t="s">
        <v>873</v>
      </c>
      <c r="X97" s="45" t="s">
        <v>771</v>
      </c>
      <c r="Y97" s="46">
        <v>45007</v>
      </c>
      <c r="Z97" s="45" t="s">
        <v>60</v>
      </c>
      <c r="AA97" s="48"/>
      <c r="AB97" s="48" t="s">
        <v>874</v>
      </c>
      <c r="AC97" s="45" t="s">
        <v>69</v>
      </c>
      <c r="AD97" s="48" t="s">
        <v>875</v>
      </c>
      <c r="AE97" s="48">
        <v>900426006</v>
      </c>
      <c r="AF97" s="48">
        <v>8</v>
      </c>
      <c r="AG97" s="48" t="s">
        <v>517</v>
      </c>
      <c r="AH97" s="45" t="s">
        <v>551</v>
      </c>
      <c r="AI97" s="45" t="s">
        <v>467</v>
      </c>
      <c r="AJ97" s="78" t="s">
        <v>876</v>
      </c>
      <c r="AK97" s="50" t="s">
        <v>517</v>
      </c>
      <c r="AL97" s="50" t="s">
        <v>517</v>
      </c>
      <c r="AM97" s="45">
        <v>59423</v>
      </c>
      <c r="AN97" s="61">
        <v>45008</v>
      </c>
      <c r="AO97" s="56">
        <v>16275000</v>
      </c>
      <c r="AP97" s="48"/>
      <c r="AQ97" s="59"/>
      <c r="AR97" s="48"/>
      <c r="AS97" s="56">
        <v>16275000</v>
      </c>
      <c r="AT97" s="45" t="s">
        <v>75</v>
      </c>
      <c r="AU97" s="74">
        <v>45008</v>
      </c>
      <c r="AV97" s="45" t="s">
        <v>877</v>
      </c>
      <c r="AW97" s="74">
        <v>45008</v>
      </c>
      <c r="AX97" s="74">
        <v>45291</v>
      </c>
      <c r="AY97" s="45">
        <f t="shared" si="7"/>
        <v>283</v>
      </c>
      <c r="AZ97" s="56" t="s">
        <v>878</v>
      </c>
      <c r="BA97" s="45">
        <v>75035031</v>
      </c>
      <c r="BB97" s="56"/>
      <c r="BC97" s="61"/>
      <c r="BD97" s="48"/>
      <c r="BE97" s="61"/>
      <c r="BF97" s="48"/>
      <c r="BG97" s="61"/>
      <c r="BH97" s="56"/>
      <c r="BI97" s="61"/>
      <c r="BJ97" s="47" t="e">
        <f>([3]!Tabla1[[#This Row],[VALOR TOTAL CONTRATO + VF]]+[3]!Tabla1[[#This Row],[ADICION 1 ]]+[3]!Tabla1[[#This Row],[ADICION 2]]-[3]!Tabla1[[#This Row],[LIBERACION]])</f>
        <v>#REF!</v>
      </c>
      <c r="BK97" s="61"/>
      <c r="BL97" s="61"/>
      <c r="BM97" s="61"/>
      <c r="BN97" s="61"/>
      <c r="BO97" s="48"/>
      <c r="BP97" s="61"/>
      <c r="BQ97" s="61"/>
      <c r="BR97" s="56"/>
      <c r="BS97" s="61"/>
      <c r="BT97" s="45">
        <f t="shared" si="8"/>
        <v>283</v>
      </c>
      <c r="BU97" s="61"/>
      <c r="BV97" s="60"/>
    </row>
    <row r="98" spans="1:74" ht="15" customHeight="1" x14ac:dyDescent="0.25">
      <c r="A98" s="42" t="s">
        <v>459</v>
      </c>
      <c r="B98" s="43" t="s">
        <v>460</v>
      </c>
      <c r="C98" s="44" t="s">
        <v>54</v>
      </c>
      <c r="D98" s="48">
        <v>278</v>
      </c>
      <c r="E98" s="45" t="s">
        <v>344</v>
      </c>
      <c r="F98" s="76" t="s">
        <v>1033</v>
      </c>
      <c r="G98" s="61" t="s">
        <v>1034</v>
      </c>
      <c r="H98" s="48" t="s">
        <v>771</v>
      </c>
      <c r="I98" s="74">
        <v>44986</v>
      </c>
      <c r="J98" s="48" t="s">
        <v>1035</v>
      </c>
      <c r="K98" s="48" t="s">
        <v>1036</v>
      </c>
      <c r="L98" s="45" t="s">
        <v>768</v>
      </c>
      <c r="M98" s="73" t="s">
        <v>1037</v>
      </c>
      <c r="N98" s="56" t="s">
        <v>1038</v>
      </c>
      <c r="O98" s="56" t="s">
        <v>1039</v>
      </c>
      <c r="P98" s="56">
        <v>52000000</v>
      </c>
      <c r="Q98" s="56">
        <v>52000000</v>
      </c>
      <c r="R98" s="48">
        <v>24623</v>
      </c>
      <c r="S98" s="48" t="s">
        <v>1040</v>
      </c>
      <c r="T98" s="48" t="s">
        <v>64</v>
      </c>
      <c r="U98" s="48" t="s">
        <v>65</v>
      </c>
      <c r="V98" s="48"/>
      <c r="W98" s="61" t="s">
        <v>1041</v>
      </c>
      <c r="X98" s="48" t="s">
        <v>997</v>
      </c>
      <c r="Y98" s="49">
        <v>45001</v>
      </c>
      <c r="Z98" s="48" t="s">
        <v>1042</v>
      </c>
      <c r="AA98" s="48"/>
      <c r="AB98" s="45" t="s">
        <v>68</v>
      </c>
      <c r="AC98" s="45" t="s">
        <v>69</v>
      </c>
      <c r="AD98" s="48" t="s">
        <v>1043</v>
      </c>
      <c r="AE98" s="48" t="s">
        <v>1044</v>
      </c>
      <c r="AF98" s="48"/>
      <c r="AG98" s="45" t="s">
        <v>517</v>
      </c>
      <c r="AH98" s="45" t="s">
        <v>551</v>
      </c>
      <c r="AI98" s="45"/>
      <c r="AJ98" s="45"/>
      <c r="AK98" s="48"/>
      <c r="AL98" s="58" t="e">
        <f ca="1">+YEAR(TODAY())-YEAR([5]!Tabla1[[#This Row],[FECHA DE NACIMIENTO]])</f>
        <v>#REF!</v>
      </c>
      <c r="AM98" s="48">
        <v>57223</v>
      </c>
      <c r="AN98" s="49">
        <v>45002</v>
      </c>
      <c r="AO98" s="56">
        <v>52000000</v>
      </c>
      <c r="AP98" s="48"/>
      <c r="AQ98" s="59"/>
      <c r="AR98" s="48"/>
      <c r="AS98" s="59">
        <v>52000000</v>
      </c>
      <c r="AT98" s="45" t="s">
        <v>297</v>
      </c>
      <c r="AU98" s="49">
        <v>45000</v>
      </c>
      <c r="AV98" s="45" t="s">
        <v>74</v>
      </c>
      <c r="AW98" s="49">
        <v>45002</v>
      </c>
      <c r="AX98" s="49">
        <v>45033</v>
      </c>
      <c r="AY98" s="43">
        <v>30</v>
      </c>
      <c r="AZ98" s="56" t="s">
        <v>1045</v>
      </c>
      <c r="BA98" s="48">
        <v>79994053</v>
      </c>
      <c r="BB98" s="56"/>
      <c r="BC98" s="61"/>
      <c r="BD98" s="48"/>
      <c r="BE98" s="61"/>
      <c r="BF98" s="48"/>
      <c r="BG98" s="61"/>
      <c r="BH98" s="56"/>
      <c r="BI98" s="61"/>
      <c r="BJ98" s="56">
        <v>52000000</v>
      </c>
      <c r="BK98" s="61"/>
      <c r="BL98" s="61"/>
      <c r="BM98" s="61"/>
      <c r="BN98" s="61"/>
      <c r="BO98" s="48"/>
      <c r="BP98" s="61"/>
      <c r="BQ98" s="61"/>
      <c r="BR98" s="56"/>
      <c r="BS98" s="61"/>
      <c r="BT98" s="48">
        <v>30</v>
      </c>
      <c r="BU98" s="61"/>
      <c r="BV98" s="60"/>
    </row>
    <row r="99" spans="1:74" ht="15" customHeight="1" x14ac:dyDescent="0.25">
      <c r="A99" s="93" t="s">
        <v>459</v>
      </c>
      <c r="B99" s="94" t="s">
        <v>460</v>
      </c>
      <c r="C99" s="95" t="s">
        <v>54</v>
      </c>
      <c r="D99" s="73">
        <v>69</v>
      </c>
      <c r="E99" s="45" t="s">
        <v>55</v>
      </c>
      <c r="F99" s="73" t="s">
        <v>782</v>
      </c>
      <c r="G99" s="76" t="s">
        <v>783</v>
      </c>
      <c r="H99" s="73" t="s">
        <v>771</v>
      </c>
      <c r="I99" s="96">
        <v>44987</v>
      </c>
      <c r="J99" s="73" t="s">
        <v>492</v>
      </c>
      <c r="K99" s="73" t="s">
        <v>493</v>
      </c>
      <c r="L99" s="76" t="s">
        <v>225</v>
      </c>
      <c r="M99" s="73" t="s">
        <v>784</v>
      </c>
      <c r="N99" s="76">
        <v>43232800</v>
      </c>
      <c r="O99" s="76" t="s">
        <v>785</v>
      </c>
      <c r="P99" s="97">
        <v>96500000</v>
      </c>
      <c r="Q99" s="97">
        <v>96489999</v>
      </c>
      <c r="R99" s="76">
        <v>20523</v>
      </c>
      <c r="S99" s="76" t="s">
        <v>89</v>
      </c>
      <c r="T99" s="73" t="s">
        <v>448</v>
      </c>
      <c r="U99" s="76"/>
      <c r="V99" s="76"/>
      <c r="W99" s="76"/>
      <c r="X99" s="76"/>
      <c r="Y99" s="98"/>
      <c r="Z99" s="76"/>
      <c r="AA99" s="76"/>
      <c r="AB99" s="76"/>
      <c r="AC99" s="76"/>
      <c r="AD99" s="76"/>
      <c r="AE99" s="76"/>
      <c r="AF99" s="76"/>
      <c r="AG99" s="76"/>
      <c r="AH99" s="76"/>
      <c r="AI99" s="73"/>
      <c r="AJ99" s="73"/>
      <c r="AK99" s="76"/>
      <c r="AL99" s="99">
        <f ca="1">+YEAR(TODAY())-YEAR(Tabla13[[#This Row],[FECHA DE NACIMIENTO]])</f>
        <v>123</v>
      </c>
      <c r="AM99" s="76"/>
      <c r="AN99" s="100"/>
      <c r="AO99" s="97"/>
      <c r="AP99" s="76"/>
      <c r="AQ99" s="76"/>
      <c r="AR99" s="76"/>
      <c r="AS99" s="101"/>
      <c r="AT99" s="76"/>
      <c r="AU99" s="100"/>
      <c r="AV99" s="76"/>
      <c r="AW99" s="100"/>
      <c r="AX99" s="100"/>
      <c r="AY99" s="95">
        <f t="shared" ref="AY99:AY106" si="9">(AX99-AW99)</f>
        <v>0</v>
      </c>
      <c r="AZ99" s="76"/>
      <c r="BA99" s="76"/>
      <c r="BB99" s="97"/>
      <c r="BC99" s="100"/>
      <c r="BD99" s="76"/>
      <c r="BE99" s="76"/>
      <c r="BF99" s="76"/>
      <c r="BG99" s="100"/>
      <c r="BH99" s="76"/>
      <c r="BI99" s="100"/>
      <c r="BJ99" s="97"/>
      <c r="BK99" s="76"/>
      <c r="BL99" s="100"/>
      <c r="BM99" s="100"/>
      <c r="BN99" s="76"/>
      <c r="BO99" s="76"/>
      <c r="BP99" s="100"/>
      <c r="BQ99" s="76"/>
      <c r="BR99" s="97"/>
      <c r="BS99" s="100"/>
      <c r="BT99" s="76"/>
      <c r="BU99" s="100"/>
      <c r="BV99" s="102"/>
    </row>
    <row r="100" spans="1:74" s="65" customFormat="1" ht="15" customHeight="1" x14ac:dyDescent="0.25">
      <c r="A100" s="48" t="s">
        <v>459</v>
      </c>
      <c r="B100" s="48" t="s">
        <v>460</v>
      </c>
      <c r="C100" s="45" t="s">
        <v>54</v>
      </c>
      <c r="D100" s="48">
        <v>111</v>
      </c>
      <c r="E100" s="45" t="s">
        <v>221</v>
      </c>
      <c r="F100" s="48" t="s">
        <v>820</v>
      </c>
      <c r="G100" s="61" t="s">
        <v>821</v>
      </c>
      <c r="H100" s="48" t="s">
        <v>771</v>
      </c>
      <c r="I100" s="77">
        <v>44988</v>
      </c>
      <c r="J100" s="48" t="s">
        <v>59</v>
      </c>
      <c r="K100" s="45" t="s">
        <v>60</v>
      </c>
      <c r="L100" s="45" t="s">
        <v>86</v>
      </c>
      <c r="M100" s="45" t="s">
        <v>822</v>
      </c>
      <c r="N100" s="45">
        <v>80161500</v>
      </c>
      <c r="O100" s="56" t="s">
        <v>734</v>
      </c>
      <c r="P100" s="56">
        <v>25000000</v>
      </c>
      <c r="Q100" s="56">
        <v>27500000</v>
      </c>
      <c r="R100" s="48">
        <v>23423</v>
      </c>
      <c r="S100" s="48" t="s">
        <v>89</v>
      </c>
      <c r="T100" s="45" t="s">
        <v>64</v>
      </c>
      <c r="U100" s="45" t="s">
        <v>65</v>
      </c>
      <c r="V100" s="45"/>
      <c r="W100" s="61" t="s">
        <v>823</v>
      </c>
      <c r="X100" s="45" t="s">
        <v>771</v>
      </c>
      <c r="Y100" s="46">
        <v>44998</v>
      </c>
      <c r="Z100" s="45" t="s">
        <v>60</v>
      </c>
      <c r="AA100" s="48"/>
      <c r="AB100" s="48" t="s">
        <v>824</v>
      </c>
      <c r="AC100" s="48" t="s">
        <v>825</v>
      </c>
      <c r="AD100" s="48" t="s">
        <v>826</v>
      </c>
      <c r="AE100" s="48">
        <v>1090393438</v>
      </c>
      <c r="AF100" s="45" t="s">
        <v>141</v>
      </c>
      <c r="AG100" s="48" t="s">
        <v>827</v>
      </c>
      <c r="AH100" s="45" t="s">
        <v>551</v>
      </c>
      <c r="AI100" s="45" t="s">
        <v>467</v>
      </c>
      <c r="AJ100" s="48" t="s">
        <v>517</v>
      </c>
      <c r="AK100" s="49">
        <v>32225</v>
      </c>
      <c r="AL100" s="58" t="e">
        <f ca="1">+YEAR(TODAY())-YEAR([3]!Tabla1[[#This Row],[FECHA DE NACIMIENTO]])</f>
        <v>#REF!</v>
      </c>
      <c r="AM100" s="45">
        <v>54623</v>
      </c>
      <c r="AN100" s="74">
        <v>44999</v>
      </c>
      <c r="AO100" s="56">
        <v>25000000</v>
      </c>
      <c r="AP100" s="48"/>
      <c r="AQ100" s="59"/>
      <c r="AR100" s="48"/>
      <c r="AS100" s="56">
        <v>25000000</v>
      </c>
      <c r="AT100" s="45" t="s">
        <v>75</v>
      </c>
      <c r="AU100" s="74">
        <v>44992</v>
      </c>
      <c r="AV100" s="45" t="s">
        <v>74</v>
      </c>
      <c r="AW100" s="74">
        <v>45000</v>
      </c>
      <c r="AX100" s="74">
        <v>45291</v>
      </c>
      <c r="AY100" s="45">
        <f t="shared" si="9"/>
        <v>291</v>
      </c>
      <c r="AZ100" s="103" t="s">
        <v>828</v>
      </c>
      <c r="BA100" s="45">
        <v>88151663</v>
      </c>
      <c r="BB100" s="56"/>
      <c r="BC100" s="61"/>
      <c r="BD100" s="48"/>
      <c r="BE100" s="61"/>
      <c r="BF100" s="48"/>
      <c r="BG100" s="61"/>
      <c r="BH100" s="56"/>
      <c r="BI100" s="61"/>
      <c r="BJ100" s="47" t="e">
        <f>([3]!Tabla1[[#This Row],[VALOR TOTAL CONTRATO + VF]]+[3]!Tabla1[[#This Row],[ADICION 1 ]]+[3]!Tabla1[[#This Row],[ADICION 2]]-[3]!Tabla1[[#This Row],[LIBERACION]])</f>
        <v>#REF!</v>
      </c>
      <c r="BK100" s="61"/>
      <c r="BL100" s="61"/>
      <c r="BM100" s="61"/>
      <c r="BN100" s="61"/>
      <c r="BO100" s="48"/>
      <c r="BP100" s="61"/>
      <c r="BQ100" s="61"/>
      <c r="BR100" s="56"/>
      <c r="BS100" s="61"/>
      <c r="BT100" s="45">
        <f t="shared" ref="BT100:BT106" si="10">SUM(AY100+BK100+BN100+BQ100)</f>
        <v>291</v>
      </c>
      <c r="BU100" s="61"/>
      <c r="BV100" s="48"/>
    </row>
    <row r="101" spans="1:74" ht="15" customHeight="1" x14ac:dyDescent="0.25">
      <c r="A101" s="62" t="s">
        <v>459</v>
      </c>
      <c r="B101" s="62" t="s">
        <v>460</v>
      </c>
      <c r="C101" s="104" t="s">
        <v>54</v>
      </c>
      <c r="D101" s="105">
        <v>112</v>
      </c>
      <c r="E101" s="106" t="s">
        <v>221</v>
      </c>
      <c r="F101" s="107" t="s">
        <v>829</v>
      </c>
      <c r="G101" s="108" t="s">
        <v>830</v>
      </c>
      <c r="H101" s="105" t="s">
        <v>771</v>
      </c>
      <c r="I101" s="109">
        <v>44988</v>
      </c>
      <c r="J101" s="105" t="s">
        <v>59</v>
      </c>
      <c r="K101" s="106" t="s">
        <v>60</v>
      </c>
      <c r="L101" s="106" t="s">
        <v>86</v>
      </c>
      <c r="M101" s="110" t="s">
        <v>822</v>
      </c>
      <c r="N101" s="106">
        <v>80161500</v>
      </c>
      <c r="O101" s="111" t="s">
        <v>734</v>
      </c>
      <c r="P101" s="111">
        <v>25000000</v>
      </c>
      <c r="Q101" s="111">
        <v>27500000</v>
      </c>
      <c r="R101" s="105">
        <v>23323</v>
      </c>
      <c r="S101" s="105" t="s">
        <v>89</v>
      </c>
      <c r="T101" s="106" t="s">
        <v>64</v>
      </c>
      <c r="U101" s="106" t="s">
        <v>65</v>
      </c>
      <c r="V101" s="106"/>
      <c r="W101" s="108" t="s">
        <v>831</v>
      </c>
      <c r="X101" s="106" t="s">
        <v>771</v>
      </c>
      <c r="Y101" s="112">
        <v>44992</v>
      </c>
      <c r="Z101" s="106" t="s">
        <v>60</v>
      </c>
      <c r="AA101" s="105"/>
      <c r="AB101" s="105" t="s">
        <v>824</v>
      </c>
      <c r="AC101" s="105" t="s">
        <v>825</v>
      </c>
      <c r="AD101" s="105" t="s">
        <v>832</v>
      </c>
      <c r="AE101" s="105">
        <v>1090504369</v>
      </c>
      <c r="AF101" s="106" t="s">
        <v>141</v>
      </c>
      <c r="AG101" s="113" t="s">
        <v>833</v>
      </c>
      <c r="AH101" s="106" t="s">
        <v>551</v>
      </c>
      <c r="AI101" s="106" t="s">
        <v>467</v>
      </c>
      <c r="AJ101" s="105" t="s">
        <v>517</v>
      </c>
      <c r="AK101" s="114">
        <v>35515</v>
      </c>
      <c r="AL101" s="115" t="e">
        <f ca="1">+YEAR(TODAY())-YEAR([3]!Tabla1[[#This Row],[FECHA DE NACIMIENTO]])</f>
        <v>#REF!</v>
      </c>
      <c r="AM101" s="106">
        <v>48923</v>
      </c>
      <c r="AN101" s="116">
        <v>44993</v>
      </c>
      <c r="AO101" s="111">
        <v>25000000</v>
      </c>
      <c r="AP101" s="105"/>
      <c r="AQ101" s="117"/>
      <c r="AR101" s="105"/>
      <c r="AS101" s="111">
        <v>25000000</v>
      </c>
      <c r="AT101" s="106" t="s">
        <v>75</v>
      </c>
      <c r="AU101" s="116">
        <v>44993</v>
      </c>
      <c r="AV101" s="106" t="s">
        <v>74</v>
      </c>
      <c r="AW101" s="116">
        <v>45000</v>
      </c>
      <c r="AX101" s="116">
        <v>45291</v>
      </c>
      <c r="AY101" s="104">
        <f t="shared" si="9"/>
        <v>291</v>
      </c>
      <c r="AZ101" s="118" t="s">
        <v>828</v>
      </c>
      <c r="BA101" s="106">
        <v>88151663</v>
      </c>
      <c r="BB101" s="111"/>
      <c r="BC101" s="108"/>
      <c r="BD101" s="105"/>
      <c r="BE101" s="108"/>
      <c r="BF101" s="105"/>
      <c r="BG101" s="108"/>
      <c r="BH101" s="111"/>
      <c r="BI101" s="108"/>
      <c r="BJ101" s="119" t="e">
        <f>([3]!Tabla1[[#This Row],[VALOR TOTAL CONTRATO + VF]]+[3]!Tabla1[[#This Row],[ADICION 1 ]]+[3]!Tabla1[[#This Row],[ADICION 2]]-[3]!Tabla1[[#This Row],[LIBERACION]])</f>
        <v>#REF!</v>
      </c>
      <c r="BK101" s="108"/>
      <c r="BL101" s="108"/>
      <c r="BM101" s="108"/>
      <c r="BN101" s="108"/>
      <c r="BO101" s="105"/>
      <c r="BP101" s="108"/>
      <c r="BQ101" s="108"/>
      <c r="BR101" s="111"/>
      <c r="BS101" s="108"/>
      <c r="BT101" s="106">
        <f t="shared" si="10"/>
        <v>291</v>
      </c>
      <c r="BU101" s="108"/>
      <c r="BV101" s="120"/>
    </row>
    <row r="102" spans="1:74" ht="15" customHeight="1" x14ac:dyDescent="0.25">
      <c r="A102" s="62" t="s">
        <v>459</v>
      </c>
      <c r="B102" s="63" t="s">
        <v>460</v>
      </c>
      <c r="C102" s="64" t="s">
        <v>54</v>
      </c>
      <c r="D102" s="121">
        <v>113</v>
      </c>
      <c r="E102" s="65" t="s">
        <v>221</v>
      </c>
      <c r="F102" s="122" t="s">
        <v>834</v>
      </c>
      <c r="G102" s="123" t="s">
        <v>835</v>
      </c>
      <c r="H102" s="121" t="s">
        <v>771</v>
      </c>
      <c r="I102" s="124">
        <v>44988</v>
      </c>
      <c r="J102" s="121" t="s">
        <v>59</v>
      </c>
      <c r="K102" s="65" t="s">
        <v>60</v>
      </c>
      <c r="L102" s="65" t="s">
        <v>86</v>
      </c>
      <c r="M102" s="125" t="s">
        <v>822</v>
      </c>
      <c r="N102" s="65">
        <v>80161500</v>
      </c>
      <c r="O102" s="126" t="s">
        <v>734</v>
      </c>
      <c r="P102" s="126">
        <v>25000000</v>
      </c>
      <c r="Q102" s="126">
        <v>27500000</v>
      </c>
      <c r="R102" s="121">
        <v>23223</v>
      </c>
      <c r="S102" s="121" t="s">
        <v>89</v>
      </c>
      <c r="T102" s="65" t="s">
        <v>64</v>
      </c>
      <c r="U102" s="65" t="s">
        <v>65</v>
      </c>
      <c r="V102" s="65"/>
      <c r="W102" s="123" t="s">
        <v>836</v>
      </c>
      <c r="X102" s="65" t="s">
        <v>771</v>
      </c>
      <c r="Y102" s="127">
        <v>44993</v>
      </c>
      <c r="Z102" s="65" t="s">
        <v>60</v>
      </c>
      <c r="AA102" s="121"/>
      <c r="AB102" s="121" t="s">
        <v>824</v>
      </c>
      <c r="AC102" s="121" t="s">
        <v>825</v>
      </c>
      <c r="AD102" s="121" t="s">
        <v>837</v>
      </c>
      <c r="AE102" s="121">
        <v>1093766424</v>
      </c>
      <c r="AF102" s="65" t="s">
        <v>141</v>
      </c>
      <c r="AG102" s="128" t="s">
        <v>838</v>
      </c>
      <c r="AH102" s="65" t="s">
        <v>551</v>
      </c>
      <c r="AI102" s="65" t="s">
        <v>467</v>
      </c>
      <c r="AJ102" s="121" t="s">
        <v>517</v>
      </c>
      <c r="AK102" s="71">
        <v>33968</v>
      </c>
      <c r="AL102" s="129" t="e">
        <f ca="1">+YEAR(TODAY())-YEAR([3]!Tabla1[[#This Row],[FECHA DE NACIMIENTO]])</f>
        <v>#REF!</v>
      </c>
      <c r="AM102" s="65">
        <v>53923</v>
      </c>
      <c r="AN102" s="66">
        <v>44998</v>
      </c>
      <c r="AO102" s="126">
        <v>25000000</v>
      </c>
      <c r="AP102" s="121"/>
      <c r="AQ102" s="130"/>
      <c r="AR102" s="121"/>
      <c r="AS102" s="126">
        <v>25000000</v>
      </c>
      <c r="AT102" s="65" t="s">
        <v>75</v>
      </c>
      <c r="AU102" s="66">
        <v>44988</v>
      </c>
      <c r="AV102" s="65" t="s">
        <v>74</v>
      </c>
      <c r="AW102" s="66">
        <v>44999</v>
      </c>
      <c r="AX102" s="66">
        <v>45291</v>
      </c>
      <c r="AY102" s="64">
        <f t="shared" si="9"/>
        <v>292</v>
      </c>
      <c r="AZ102" s="131" t="s">
        <v>828</v>
      </c>
      <c r="BA102" s="65">
        <v>88151663</v>
      </c>
      <c r="BB102" s="126"/>
      <c r="BC102" s="123"/>
      <c r="BD102" s="121"/>
      <c r="BE102" s="123"/>
      <c r="BF102" s="121"/>
      <c r="BG102" s="123"/>
      <c r="BH102" s="126"/>
      <c r="BI102" s="123"/>
      <c r="BJ102" s="67" t="e">
        <f>([3]!Tabla1[[#This Row],[VALOR TOTAL CONTRATO + VF]]+[3]!Tabla1[[#This Row],[ADICION 1 ]]+[3]!Tabla1[[#This Row],[ADICION 2]]-[3]!Tabla1[[#This Row],[LIBERACION]])</f>
        <v>#REF!</v>
      </c>
      <c r="BK102" s="123"/>
      <c r="BL102" s="123"/>
      <c r="BM102" s="123"/>
      <c r="BN102" s="123"/>
      <c r="BO102" s="121"/>
      <c r="BP102" s="123"/>
      <c r="BQ102" s="123"/>
      <c r="BR102" s="126"/>
      <c r="BS102" s="123"/>
      <c r="BT102" s="65">
        <f t="shared" si="10"/>
        <v>292</v>
      </c>
      <c r="BU102" s="123"/>
      <c r="BV102" s="132"/>
    </row>
    <row r="103" spans="1:74" ht="15" customHeight="1" x14ac:dyDescent="0.25">
      <c r="A103" s="42" t="s">
        <v>459</v>
      </c>
      <c r="B103" s="43" t="s">
        <v>460</v>
      </c>
      <c r="C103" s="44" t="s">
        <v>54</v>
      </c>
      <c r="D103" s="48">
        <v>104</v>
      </c>
      <c r="E103" s="48" t="s">
        <v>345</v>
      </c>
      <c r="F103" s="76" t="s">
        <v>901</v>
      </c>
      <c r="G103" s="61" t="s">
        <v>902</v>
      </c>
      <c r="H103" s="48" t="s">
        <v>771</v>
      </c>
      <c r="I103" s="77">
        <v>44992</v>
      </c>
      <c r="J103" s="48" t="s">
        <v>59</v>
      </c>
      <c r="K103" s="48" t="s">
        <v>903</v>
      </c>
      <c r="L103" s="45" t="s">
        <v>313</v>
      </c>
      <c r="M103" s="76" t="s">
        <v>822</v>
      </c>
      <c r="N103" s="48">
        <v>80161500</v>
      </c>
      <c r="O103" s="56" t="s">
        <v>904</v>
      </c>
      <c r="P103" s="56">
        <v>25000000</v>
      </c>
      <c r="Q103" s="56">
        <v>25000000</v>
      </c>
      <c r="R103" s="48">
        <v>24123</v>
      </c>
      <c r="S103" s="48" t="s">
        <v>905</v>
      </c>
      <c r="T103" s="48" t="s">
        <v>64</v>
      </c>
      <c r="U103" s="45" t="s">
        <v>65</v>
      </c>
      <c r="V103" s="48" t="s">
        <v>517</v>
      </c>
      <c r="W103" s="61" t="s">
        <v>906</v>
      </c>
      <c r="X103" s="45" t="s">
        <v>771</v>
      </c>
      <c r="Y103" s="61">
        <v>44994</v>
      </c>
      <c r="Z103" s="48" t="s">
        <v>903</v>
      </c>
      <c r="AA103" s="48"/>
      <c r="AB103" s="48" t="s">
        <v>907</v>
      </c>
      <c r="AC103" s="48" t="s">
        <v>908</v>
      </c>
      <c r="AD103" s="48" t="s">
        <v>909</v>
      </c>
      <c r="AE103" s="48">
        <v>1093799482</v>
      </c>
      <c r="AF103" s="48" t="s">
        <v>517</v>
      </c>
      <c r="AG103" s="48" t="s">
        <v>910</v>
      </c>
      <c r="AH103" s="48"/>
      <c r="AI103" s="45"/>
      <c r="AJ103" s="45"/>
      <c r="AK103" s="61">
        <v>36296</v>
      </c>
      <c r="AL103" s="58" t="e">
        <f ca="1">+YEAR(TODAY())-YEAR([6]!Tabla1[[#This Row],[FECHA DE NACIMIENTO]])</f>
        <v>#REF!</v>
      </c>
      <c r="AM103" s="45">
        <v>53823</v>
      </c>
      <c r="AN103" s="61">
        <v>44995</v>
      </c>
      <c r="AO103" s="56">
        <v>25000000</v>
      </c>
      <c r="AP103" s="48"/>
      <c r="AQ103" s="59"/>
      <c r="AR103" s="48"/>
      <c r="AS103" s="133">
        <v>25000000</v>
      </c>
      <c r="AT103" s="48" t="s">
        <v>297</v>
      </c>
      <c r="AU103" s="61">
        <v>45000</v>
      </c>
      <c r="AV103" s="61" t="s">
        <v>74</v>
      </c>
      <c r="AW103" s="61">
        <v>45001</v>
      </c>
      <c r="AX103" s="61">
        <v>45291</v>
      </c>
      <c r="AY103" s="44">
        <f t="shared" si="9"/>
        <v>290</v>
      </c>
      <c r="AZ103" s="56" t="s">
        <v>911</v>
      </c>
      <c r="BA103" s="45">
        <v>88151663</v>
      </c>
      <c r="BB103" s="56"/>
      <c r="BC103" s="61"/>
      <c r="BD103" s="48"/>
      <c r="BE103" s="61"/>
      <c r="BF103" s="48"/>
      <c r="BG103" s="61"/>
      <c r="BH103" s="56"/>
      <c r="BI103" s="61"/>
      <c r="BJ103" s="47" t="e">
        <f>([6]!Tabla1[[#This Row],[VALOR TOTAL CONTRATO + VF]]+[6]!Tabla1[[#This Row],[ADICION 1 ]]+[6]!Tabla1[[#This Row],[ADICION 2]]-[6]!Tabla1[[#This Row],[LIBERACION]])</f>
        <v>#REF!</v>
      </c>
      <c r="BK103" s="61"/>
      <c r="BL103" s="61"/>
      <c r="BM103" s="61"/>
      <c r="BN103" s="61"/>
      <c r="BO103" s="48"/>
      <c r="BP103" s="61"/>
      <c r="BQ103" s="61"/>
      <c r="BR103" s="56"/>
      <c r="BS103" s="61"/>
      <c r="BT103" s="45">
        <f t="shared" si="10"/>
        <v>290</v>
      </c>
      <c r="BU103" s="61"/>
      <c r="BV103" s="60"/>
    </row>
    <row r="104" spans="1:74" ht="15" customHeight="1" x14ac:dyDescent="0.25">
      <c r="A104" s="42" t="s">
        <v>459</v>
      </c>
      <c r="B104" s="43" t="s">
        <v>460</v>
      </c>
      <c r="C104" s="44" t="s">
        <v>54</v>
      </c>
      <c r="D104" s="48">
        <v>105</v>
      </c>
      <c r="E104" s="48" t="s">
        <v>345</v>
      </c>
      <c r="F104" s="76" t="s">
        <v>912</v>
      </c>
      <c r="G104" s="61" t="s">
        <v>913</v>
      </c>
      <c r="H104" s="48" t="s">
        <v>771</v>
      </c>
      <c r="I104" s="77">
        <v>44992</v>
      </c>
      <c r="J104" s="48" t="s">
        <v>59</v>
      </c>
      <c r="K104" s="48" t="s">
        <v>903</v>
      </c>
      <c r="L104" s="45" t="s">
        <v>313</v>
      </c>
      <c r="M104" s="76" t="s">
        <v>822</v>
      </c>
      <c r="N104" s="48">
        <v>80161500</v>
      </c>
      <c r="O104" s="56" t="s">
        <v>904</v>
      </c>
      <c r="P104" s="56">
        <v>25000000</v>
      </c>
      <c r="Q104" s="56">
        <v>25000000</v>
      </c>
      <c r="R104" s="48">
        <v>24023</v>
      </c>
      <c r="S104" s="48" t="s">
        <v>89</v>
      </c>
      <c r="T104" s="48" t="s">
        <v>64</v>
      </c>
      <c r="U104" s="45" t="s">
        <v>65</v>
      </c>
      <c r="V104" s="48" t="s">
        <v>517</v>
      </c>
      <c r="W104" s="61" t="s">
        <v>914</v>
      </c>
      <c r="X104" s="45" t="s">
        <v>771</v>
      </c>
      <c r="Y104" s="61">
        <v>44994</v>
      </c>
      <c r="Z104" s="48" t="s">
        <v>903</v>
      </c>
      <c r="AA104" s="48"/>
      <c r="AB104" s="48" t="s">
        <v>907</v>
      </c>
      <c r="AC104" s="48" t="s">
        <v>908</v>
      </c>
      <c r="AD104" s="48" t="s">
        <v>915</v>
      </c>
      <c r="AE104" s="48">
        <v>1093767483</v>
      </c>
      <c r="AF104" s="48" t="s">
        <v>517</v>
      </c>
      <c r="AG104" s="48" t="s">
        <v>916</v>
      </c>
      <c r="AH104" s="48"/>
      <c r="AI104" s="45"/>
      <c r="AJ104" s="45"/>
      <c r="AK104" s="61">
        <v>34074</v>
      </c>
      <c r="AL104" s="58" t="e">
        <f ca="1">+YEAR(TODAY())-YEAR([6]!Tabla1[[#This Row],[FECHA DE NACIMIENTO]])</f>
        <v>#REF!</v>
      </c>
      <c r="AM104" s="45">
        <v>53723</v>
      </c>
      <c r="AN104" s="61">
        <v>44995</v>
      </c>
      <c r="AO104" s="56">
        <v>25000000</v>
      </c>
      <c r="AP104" s="48"/>
      <c r="AQ104" s="59"/>
      <c r="AR104" s="48"/>
      <c r="AS104" s="133">
        <v>25000000</v>
      </c>
      <c r="AT104" s="48" t="s">
        <v>297</v>
      </c>
      <c r="AU104" s="61">
        <v>44994</v>
      </c>
      <c r="AV104" s="61" t="s">
        <v>74</v>
      </c>
      <c r="AW104" s="61">
        <v>44998</v>
      </c>
      <c r="AX104" s="61">
        <v>45291</v>
      </c>
      <c r="AY104" s="44">
        <f t="shared" si="9"/>
        <v>293</v>
      </c>
      <c r="AZ104" s="56" t="s">
        <v>911</v>
      </c>
      <c r="BA104" s="45">
        <v>88151663</v>
      </c>
      <c r="BB104" s="56"/>
      <c r="BC104" s="61"/>
      <c r="BD104" s="48"/>
      <c r="BE104" s="61"/>
      <c r="BF104" s="48"/>
      <c r="BG104" s="61"/>
      <c r="BH104" s="56"/>
      <c r="BI104" s="61"/>
      <c r="BJ104" s="47" t="e">
        <f>([6]!Tabla1[[#This Row],[VALOR TOTAL CONTRATO + VF]]+[6]!Tabla1[[#This Row],[ADICION 1 ]]+[6]!Tabla1[[#This Row],[ADICION 2]]-[6]!Tabla1[[#This Row],[LIBERACION]])</f>
        <v>#REF!</v>
      </c>
      <c r="BK104" s="61"/>
      <c r="BL104" s="61"/>
      <c r="BM104" s="61"/>
      <c r="BN104" s="61"/>
      <c r="BO104" s="48"/>
      <c r="BP104" s="61"/>
      <c r="BQ104" s="61"/>
      <c r="BR104" s="56"/>
      <c r="BS104" s="61"/>
      <c r="BT104" s="45">
        <f t="shared" si="10"/>
        <v>293</v>
      </c>
      <c r="BU104" s="61"/>
      <c r="BV104" s="60"/>
    </row>
    <row r="105" spans="1:74" ht="15" customHeight="1" x14ac:dyDescent="0.25">
      <c r="A105" s="42" t="s">
        <v>459</v>
      </c>
      <c r="B105" s="43" t="s">
        <v>460</v>
      </c>
      <c r="C105" s="44" t="s">
        <v>54</v>
      </c>
      <c r="D105" s="48">
        <v>106</v>
      </c>
      <c r="E105" s="48" t="s">
        <v>345</v>
      </c>
      <c r="F105" s="76" t="s">
        <v>917</v>
      </c>
      <c r="G105" s="61" t="s">
        <v>918</v>
      </c>
      <c r="H105" s="48" t="s">
        <v>771</v>
      </c>
      <c r="I105" s="77">
        <v>44992</v>
      </c>
      <c r="J105" s="48" t="s">
        <v>59</v>
      </c>
      <c r="K105" s="48" t="s">
        <v>903</v>
      </c>
      <c r="L105" s="45" t="s">
        <v>313</v>
      </c>
      <c r="M105" s="76" t="s">
        <v>822</v>
      </c>
      <c r="N105" s="48">
        <v>80161500</v>
      </c>
      <c r="O105" s="56" t="s">
        <v>904</v>
      </c>
      <c r="P105" s="56">
        <v>25000000</v>
      </c>
      <c r="Q105" s="56">
        <v>25000000</v>
      </c>
      <c r="R105" s="48">
        <v>23923</v>
      </c>
      <c r="S105" s="48" t="s">
        <v>905</v>
      </c>
      <c r="T105" s="48" t="s">
        <v>64</v>
      </c>
      <c r="U105" s="45" t="s">
        <v>65</v>
      </c>
      <c r="V105" s="48" t="s">
        <v>517</v>
      </c>
      <c r="W105" s="61" t="s">
        <v>919</v>
      </c>
      <c r="X105" s="45" t="s">
        <v>771</v>
      </c>
      <c r="Y105" s="61">
        <v>44993</v>
      </c>
      <c r="Z105" s="48" t="s">
        <v>903</v>
      </c>
      <c r="AA105" s="48"/>
      <c r="AB105" s="48" t="s">
        <v>907</v>
      </c>
      <c r="AC105" s="48" t="s">
        <v>908</v>
      </c>
      <c r="AD105" s="48" t="s">
        <v>920</v>
      </c>
      <c r="AE105" s="48">
        <v>1005000669</v>
      </c>
      <c r="AF105" s="48" t="s">
        <v>517</v>
      </c>
      <c r="AG105" s="48" t="s">
        <v>921</v>
      </c>
      <c r="AH105" s="48"/>
      <c r="AI105" s="45"/>
      <c r="AJ105" s="45"/>
      <c r="AK105" s="61">
        <v>36930</v>
      </c>
      <c r="AL105" s="58" t="e">
        <f ca="1">+YEAR(TODAY())-YEAR([6]!Tabla1[[#This Row],[FECHA DE NACIMIENTO]])</f>
        <v>#REF!</v>
      </c>
      <c r="AM105" s="45">
        <v>52423</v>
      </c>
      <c r="AN105" s="61">
        <v>44994</v>
      </c>
      <c r="AO105" s="56">
        <v>25000000</v>
      </c>
      <c r="AP105" s="48"/>
      <c r="AQ105" s="59"/>
      <c r="AR105" s="48"/>
      <c r="AS105" s="133">
        <v>25000000</v>
      </c>
      <c r="AT105" s="48" t="s">
        <v>297</v>
      </c>
      <c r="AU105" s="61">
        <v>45000</v>
      </c>
      <c r="AV105" s="61" t="s">
        <v>74</v>
      </c>
      <c r="AW105" s="61">
        <v>45001</v>
      </c>
      <c r="AX105" s="61">
        <v>45291</v>
      </c>
      <c r="AY105" s="44">
        <f t="shared" si="9"/>
        <v>290</v>
      </c>
      <c r="AZ105" s="56" t="s">
        <v>911</v>
      </c>
      <c r="BA105" s="45">
        <v>88151663</v>
      </c>
      <c r="BB105" s="56"/>
      <c r="BC105" s="61"/>
      <c r="BD105" s="48"/>
      <c r="BE105" s="61"/>
      <c r="BF105" s="48"/>
      <c r="BG105" s="61"/>
      <c r="BH105" s="56"/>
      <c r="BI105" s="61"/>
      <c r="BJ105" s="47" t="e">
        <f>([6]!Tabla1[[#This Row],[VALOR TOTAL CONTRATO + VF]]+[6]!Tabla1[[#This Row],[ADICION 1 ]]+[6]!Tabla1[[#This Row],[ADICION 2]]-[6]!Tabla1[[#This Row],[LIBERACION]])</f>
        <v>#REF!</v>
      </c>
      <c r="BK105" s="61"/>
      <c r="BL105" s="61"/>
      <c r="BM105" s="61"/>
      <c r="BN105" s="61"/>
      <c r="BO105" s="48"/>
      <c r="BP105" s="61"/>
      <c r="BQ105" s="61"/>
      <c r="BR105" s="56"/>
      <c r="BS105" s="61"/>
      <c r="BT105" s="45">
        <f t="shared" si="10"/>
        <v>290</v>
      </c>
      <c r="BU105" s="61"/>
      <c r="BV105" s="60"/>
    </row>
    <row r="106" spans="1:74" ht="15" customHeight="1" x14ac:dyDescent="0.25">
      <c r="A106" s="42" t="s">
        <v>459</v>
      </c>
      <c r="B106" s="43" t="s">
        <v>460</v>
      </c>
      <c r="C106" s="44" t="s">
        <v>54</v>
      </c>
      <c r="D106" s="48">
        <v>107</v>
      </c>
      <c r="E106" s="48" t="s">
        <v>345</v>
      </c>
      <c r="F106" s="76" t="s">
        <v>922</v>
      </c>
      <c r="G106" s="61" t="s">
        <v>923</v>
      </c>
      <c r="H106" s="48" t="s">
        <v>771</v>
      </c>
      <c r="I106" s="77">
        <v>44992</v>
      </c>
      <c r="J106" s="48" t="s">
        <v>59</v>
      </c>
      <c r="K106" s="48" t="s">
        <v>903</v>
      </c>
      <c r="L106" s="45" t="s">
        <v>313</v>
      </c>
      <c r="M106" s="76" t="s">
        <v>822</v>
      </c>
      <c r="N106" s="48">
        <v>80161500</v>
      </c>
      <c r="O106" s="56" t="s">
        <v>904</v>
      </c>
      <c r="P106" s="56">
        <v>25000000</v>
      </c>
      <c r="Q106" s="56">
        <v>25000000</v>
      </c>
      <c r="R106" s="48">
        <v>23823</v>
      </c>
      <c r="S106" s="48" t="s">
        <v>905</v>
      </c>
      <c r="T106" s="48" t="s">
        <v>64</v>
      </c>
      <c r="U106" s="45" t="s">
        <v>65</v>
      </c>
      <c r="V106" s="48" t="s">
        <v>517</v>
      </c>
      <c r="W106" s="61" t="s">
        <v>924</v>
      </c>
      <c r="X106" s="45" t="s">
        <v>771</v>
      </c>
      <c r="Y106" s="61">
        <v>44994</v>
      </c>
      <c r="Z106" s="48" t="s">
        <v>903</v>
      </c>
      <c r="AA106" s="48"/>
      <c r="AB106" s="48" t="s">
        <v>907</v>
      </c>
      <c r="AC106" s="48" t="s">
        <v>908</v>
      </c>
      <c r="AD106" s="48" t="s">
        <v>925</v>
      </c>
      <c r="AE106" s="48">
        <v>1090431962</v>
      </c>
      <c r="AF106" s="48" t="s">
        <v>517</v>
      </c>
      <c r="AG106" s="48" t="s">
        <v>910</v>
      </c>
      <c r="AH106" s="48"/>
      <c r="AI106" s="45"/>
      <c r="AJ106" s="45"/>
      <c r="AK106" s="61">
        <v>33320</v>
      </c>
      <c r="AL106" s="58" t="e">
        <f ca="1">+YEAR(TODAY())-YEAR([6]!Tabla1[[#This Row],[FECHA DE NACIMIENTO]])</f>
        <v>#REF!</v>
      </c>
      <c r="AM106" s="45">
        <v>54823</v>
      </c>
      <c r="AN106" s="61">
        <v>44999</v>
      </c>
      <c r="AO106" s="56">
        <v>25000000</v>
      </c>
      <c r="AP106" s="48"/>
      <c r="AQ106" s="59"/>
      <c r="AR106" s="48"/>
      <c r="AS106" s="133">
        <v>25000000</v>
      </c>
      <c r="AT106" s="48" t="s">
        <v>297</v>
      </c>
      <c r="AU106" s="61">
        <v>44998</v>
      </c>
      <c r="AV106" s="61" t="s">
        <v>74</v>
      </c>
      <c r="AW106" s="61">
        <v>45001</v>
      </c>
      <c r="AX106" s="61">
        <v>45291</v>
      </c>
      <c r="AY106" s="44">
        <f t="shared" si="9"/>
        <v>290</v>
      </c>
      <c r="AZ106" s="56" t="s">
        <v>911</v>
      </c>
      <c r="BA106" s="45">
        <v>88151663</v>
      </c>
      <c r="BB106" s="56"/>
      <c r="BC106" s="61"/>
      <c r="BD106" s="48"/>
      <c r="BE106" s="61"/>
      <c r="BF106" s="48"/>
      <c r="BG106" s="61"/>
      <c r="BH106" s="56"/>
      <c r="BI106" s="61"/>
      <c r="BJ106" s="47" t="e">
        <f>([6]!Tabla1[[#This Row],[VALOR TOTAL CONTRATO + VF]]+[6]!Tabla1[[#This Row],[ADICION 1 ]]+[6]!Tabla1[[#This Row],[ADICION 2]]-[6]!Tabla1[[#This Row],[LIBERACION]])</f>
        <v>#REF!</v>
      </c>
      <c r="BK106" s="61"/>
      <c r="BL106" s="61"/>
      <c r="BM106" s="61"/>
      <c r="BN106" s="61"/>
      <c r="BO106" s="48"/>
      <c r="BP106" s="61"/>
      <c r="BQ106" s="61"/>
      <c r="BR106" s="56"/>
      <c r="BS106" s="61"/>
      <c r="BT106" s="45">
        <f t="shared" si="10"/>
        <v>290</v>
      </c>
      <c r="BU106" s="61"/>
      <c r="BV106" s="60"/>
    </row>
    <row r="107" spans="1:74" ht="15" customHeight="1" x14ac:dyDescent="0.25">
      <c r="A107" s="42" t="s">
        <v>459</v>
      </c>
      <c r="B107" s="43" t="s">
        <v>460</v>
      </c>
      <c r="C107" s="44" t="s">
        <v>54</v>
      </c>
      <c r="D107" s="48">
        <v>102</v>
      </c>
      <c r="E107" s="45" t="s">
        <v>344</v>
      </c>
      <c r="F107" s="48" t="s">
        <v>995</v>
      </c>
      <c r="G107" s="61" t="s">
        <v>996</v>
      </c>
      <c r="H107" s="48" t="s">
        <v>771</v>
      </c>
      <c r="I107" s="74">
        <v>44992</v>
      </c>
      <c r="J107" s="45" t="s">
        <v>59</v>
      </c>
      <c r="K107" s="45" t="s">
        <v>998</v>
      </c>
      <c r="L107" s="45" t="s">
        <v>225</v>
      </c>
      <c r="M107" s="45" t="s">
        <v>999</v>
      </c>
      <c r="N107" s="48">
        <v>801615</v>
      </c>
      <c r="O107" s="56" t="s">
        <v>1000</v>
      </c>
      <c r="P107" s="56">
        <v>25000000</v>
      </c>
      <c r="Q107" s="56">
        <v>25000000</v>
      </c>
      <c r="R107" s="48">
        <v>24223</v>
      </c>
      <c r="S107" s="48" t="s">
        <v>89</v>
      </c>
      <c r="T107" s="48" t="s">
        <v>64</v>
      </c>
      <c r="U107" s="48" t="s">
        <v>65</v>
      </c>
      <c r="V107" s="48"/>
      <c r="W107" s="61" t="s">
        <v>1001</v>
      </c>
      <c r="X107" s="48" t="s">
        <v>997</v>
      </c>
      <c r="Y107" s="49">
        <v>44993</v>
      </c>
      <c r="Z107" s="45" t="s">
        <v>998</v>
      </c>
      <c r="AA107" s="48"/>
      <c r="AB107" s="48" t="s">
        <v>1002</v>
      </c>
      <c r="AC107" s="48" t="s">
        <v>1003</v>
      </c>
      <c r="AD107" s="48" t="s">
        <v>1004</v>
      </c>
      <c r="AE107" s="48">
        <v>1090401426</v>
      </c>
      <c r="AF107" s="48"/>
      <c r="AG107" s="45" t="s">
        <v>517</v>
      </c>
      <c r="AH107" s="45" t="s">
        <v>551</v>
      </c>
      <c r="AI107" s="45"/>
      <c r="AJ107" s="45"/>
      <c r="AK107" s="48"/>
      <c r="AL107" s="58" t="e">
        <f ca="1">+YEAR(TODAY())-YEAR([5]!Tabla1[[#This Row],[FECHA DE NACIMIENTO]])</f>
        <v>#REF!</v>
      </c>
      <c r="AM107" s="48">
        <v>46523</v>
      </c>
      <c r="AN107" s="49">
        <v>44992</v>
      </c>
      <c r="AO107" s="56">
        <v>25000000</v>
      </c>
      <c r="AP107" s="48"/>
      <c r="AQ107" s="59"/>
      <c r="AR107" s="48"/>
      <c r="AS107" s="133">
        <v>25000000</v>
      </c>
      <c r="AT107" s="45" t="s">
        <v>297</v>
      </c>
      <c r="AU107" s="49">
        <v>44993</v>
      </c>
      <c r="AV107" s="52" t="s">
        <v>74</v>
      </c>
      <c r="AW107" s="49">
        <v>45001</v>
      </c>
      <c r="AX107" s="49">
        <v>45291</v>
      </c>
      <c r="AY107" s="43">
        <v>290</v>
      </c>
      <c r="AZ107" s="56" t="s">
        <v>828</v>
      </c>
      <c r="BA107" s="45">
        <v>88151663</v>
      </c>
      <c r="BB107" s="56"/>
      <c r="BC107" s="61"/>
      <c r="BD107" s="48"/>
      <c r="BE107" s="61"/>
      <c r="BF107" s="48"/>
      <c r="BG107" s="61"/>
      <c r="BH107" s="56"/>
      <c r="BI107" s="61"/>
      <c r="BJ107" s="56">
        <v>25000000</v>
      </c>
      <c r="BK107" s="61"/>
      <c r="BL107" s="61"/>
      <c r="BM107" s="61"/>
      <c r="BN107" s="61"/>
      <c r="BO107" s="48"/>
      <c r="BP107" s="61"/>
      <c r="BQ107" s="61"/>
      <c r="BR107" s="56"/>
      <c r="BS107" s="61"/>
      <c r="BT107" s="48">
        <v>290</v>
      </c>
      <c r="BU107" s="61"/>
      <c r="BV107" s="60"/>
    </row>
    <row r="108" spans="1:74" ht="15" customHeight="1" x14ac:dyDescent="0.25">
      <c r="A108" s="42" t="s">
        <v>459</v>
      </c>
      <c r="B108" s="43" t="s">
        <v>460</v>
      </c>
      <c r="C108" s="44" t="s">
        <v>54</v>
      </c>
      <c r="D108" s="48">
        <v>103</v>
      </c>
      <c r="E108" s="45" t="s">
        <v>344</v>
      </c>
      <c r="F108" s="48" t="s">
        <v>1005</v>
      </c>
      <c r="G108" s="61" t="s">
        <v>1006</v>
      </c>
      <c r="H108" s="48" t="s">
        <v>771</v>
      </c>
      <c r="I108" s="74">
        <v>44993</v>
      </c>
      <c r="J108" s="45" t="s">
        <v>59</v>
      </c>
      <c r="K108" s="45" t="s">
        <v>998</v>
      </c>
      <c r="L108" s="45" t="s">
        <v>225</v>
      </c>
      <c r="M108" s="45" t="s">
        <v>999</v>
      </c>
      <c r="N108" s="48">
        <v>801615</v>
      </c>
      <c r="O108" s="56" t="s">
        <v>1000</v>
      </c>
      <c r="P108" s="56">
        <v>25000000</v>
      </c>
      <c r="Q108" s="56">
        <v>25000000</v>
      </c>
      <c r="R108" s="48">
        <v>24323</v>
      </c>
      <c r="S108" s="48" t="s">
        <v>89</v>
      </c>
      <c r="T108" s="48" t="s">
        <v>64</v>
      </c>
      <c r="U108" s="48" t="s">
        <v>65</v>
      </c>
      <c r="V108" s="48"/>
      <c r="W108" s="61" t="s">
        <v>1007</v>
      </c>
      <c r="X108" s="48" t="s">
        <v>997</v>
      </c>
      <c r="Y108" s="49">
        <v>44994</v>
      </c>
      <c r="Z108" s="45" t="s">
        <v>998</v>
      </c>
      <c r="AA108" s="48"/>
      <c r="AB108" s="48" t="s">
        <v>1002</v>
      </c>
      <c r="AC108" s="48" t="s">
        <v>1003</v>
      </c>
      <c r="AD108" s="48" t="s">
        <v>1008</v>
      </c>
      <c r="AE108" s="48">
        <v>1092349877</v>
      </c>
      <c r="AF108" s="48"/>
      <c r="AG108" s="45" t="s">
        <v>517</v>
      </c>
      <c r="AH108" s="45" t="s">
        <v>551</v>
      </c>
      <c r="AI108" s="45"/>
      <c r="AJ108" s="45"/>
      <c r="AK108" s="48"/>
      <c r="AL108" s="58" t="e">
        <f ca="1">+YEAR(TODAY())-YEAR([5]!Tabla1[[#This Row],[FECHA DE NACIMIENTO]])</f>
        <v>#REF!</v>
      </c>
      <c r="AM108" s="48">
        <v>46923</v>
      </c>
      <c r="AN108" s="49">
        <v>44993</v>
      </c>
      <c r="AO108" s="56">
        <v>25000000</v>
      </c>
      <c r="AP108" s="48"/>
      <c r="AQ108" s="59"/>
      <c r="AR108" s="48"/>
      <c r="AS108" s="133">
        <v>25000000</v>
      </c>
      <c r="AT108" s="45" t="s">
        <v>297</v>
      </c>
      <c r="AU108" s="49">
        <v>44995</v>
      </c>
      <c r="AV108" s="52" t="s">
        <v>74</v>
      </c>
      <c r="AW108" s="49">
        <v>45001</v>
      </c>
      <c r="AX108" s="49">
        <v>45291</v>
      </c>
      <c r="AY108" s="43">
        <v>290</v>
      </c>
      <c r="AZ108" s="56" t="s">
        <v>828</v>
      </c>
      <c r="BA108" s="45">
        <v>88151663</v>
      </c>
      <c r="BB108" s="56"/>
      <c r="BC108" s="61"/>
      <c r="BD108" s="48"/>
      <c r="BE108" s="61"/>
      <c r="BF108" s="48"/>
      <c r="BG108" s="61"/>
      <c r="BH108" s="56"/>
      <c r="BI108" s="61"/>
      <c r="BJ108" s="56">
        <v>25000000</v>
      </c>
      <c r="BK108" s="61"/>
      <c r="BL108" s="61"/>
      <c r="BM108" s="61"/>
      <c r="BN108" s="61"/>
      <c r="BO108" s="48"/>
      <c r="BP108" s="61"/>
      <c r="BQ108" s="61"/>
      <c r="BR108" s="56"/>
      <c r="BS108" s="61"/>
      <c r="BT108" s="48">
        <v>290</v>
      </c>
      <c r="BU108" s="61"/>
      <c r="BV108" s="60"/>
    </row>
    <row r="109" spans="1:74" ht="15" customHeight="1" x14ac:dyDescent="0.25">
      <c r="A109" s="42" t="s">
        <v>459</v>
      </c>
      <c r="B109" s="43" t="s">
        <v>460</v>
      </c>
      <c r="C109" s="44" t="s">
        <v>54</v>
      </c>
      <c r="D109" s="48">
        <v>108</v>
      </c>
      <c r="E109" s="45" t="s">
        <v>344</v>
      </c>
      <c r="F109" s="48" t="s">
        <v>1009</v>
      </c>
      <c r="G109" s="61" t="s">
        <v>1010</v>
      </c>
      <c r="H109" s="48" t="s">
        <v>771</v>
      </c>
      <c r="I109" s="74">
        <v>44993</v>
      </c>
      <c r="J109" s="45" t="s">
        <v>59</v>
      </c>
      <c r="K109" s="45" t="s">
        <v>998</v>
      </c>
      <c r="L109" s="45" t="s">
        <v>225</v>
      </c>
      <c r="M109" s="45" t="s">
        <v>999</v>
      </c>
      <c r="N109" s="48">
        <v>801615</v>
      </c>
      <c r="O109" s="56" t="s">
        <v>1000</v>
      </c>
      <c r="P109" s="56">
        <v>25000000</v>
      </c>
      <c r="Q109" s="56">
        <v>25000000</v>
      </c>
      <c r="R109" s="48">
        <v>23723</v>
      </c>
      <c r="S109" s="48" t="s">
        <v>89</v>
      </c>
      <c r="T109" s="48" t="s">
        <v>64</v>
      </c>
      <c r="U109" s="48" t="s">
        <v>65</v>
      </c>
      <c r="V109" s="48"/>
      <c r="W109" s="61" t="s">
        <v>1011</v>
      </c>
      <c r="X109" s="48" t="s">
        <v>997</v>
      </c>
      <c r="Y109" s="49">
        <v>44995</v>
      </c>
      <c r="Z109" s="45" t="s">
        <v>998</v>
      </c>
      <c r="AA109" s="48"/>
      <c r="AB109" s="48" t="s">
        <v>1002</v>
      </c>
      <c r="AC109" s="48" t="s">
        <v>1003</v>
      </c>
      <c r="AD109" s="48" t="s">
        <v>1012</v>
      </c>
      <c r="AE109" s="48">
        <v>1093914971</v>
      </c>
      <c r="AF109" s="48"/>
      <c r="AG109" s="45" t="s">
        <v>517</v>
      </c>
      <c r="AH109" s="45" t="s">
        <v>551</v>
      </c>
      <c r="AI109" s="45"/>
      <c r="AJ109" s="45"/>
      <c r="AK109" s="48"/>
      <c r="AL109" s="58" t="e">
        <f ca="1">+YEAR(TODAY())-YEAR([5]!Tabla1[[#This Row],[FECHA DE NACIMIENTO]])</f>
        <v>#REF!</v>
      </c>
      <c r="AM109" s="48">
        <v>47023</v>
      </c>
      <c r="AN109" s="49">
        <v>44993</v>
      </c>
      <c r="AO109" s="56">
        <v>25000000</v>
      </c>
      <c r="AP109" s="48"/>
      <c r="AQ109" s="59"/>
      <c r="AR109" s="48"/>
      <c r="AS109" s="133">
        <v>25000000</v>
      </c>
      <c r="AT109" s="45" t="s">
        <v>297</v>
      </c>
      <c r="AU109" s="49">
        <v>44999</v>
      </c>
      <c r="AV109" s="52" t="s">
        <v>74</v>
      </c>
      <c r="AW109" s="49">
        <v>45001</v>
      </c>
      <c r="AX109" s="49">
        <v>45291</v>
      </c>
      <c r="AY109" s="43">
        <v>290</v>
      </c>
      <c r="AZ109" s="56" t="s">
        <v>828</v>
      </c>
      <c r="BA109" s="45">
        <v>88151663</v>
      </c>
      <c r="BB109" s="56"/>
      <c r="BC109" s="61"/>
      <c r="BD109" s="48"/>
      <c r="BE109" s="61"/>
      <c r="BF109" s="48"/>
      <c r="BG109" s="61"/>
      <c r="BH109" s="56"/>
      <c r="BI109" s="61"/>
      <c r="BJ109" s="56">
        <v>25000000</v>
      </c>
      <c r="BK109" s="61"/>
      <c r="BL109" s="61"/>
      <c r="BM109" s="61"/>
      <c r="BN109" s="61"/>
      <c r="BO109" s="48"/>
      <c r="BP109" s="61"/>
      <c r="BQ109" s="61"/>
      <c r="BR109" s="56"/>
      <c r="BS109" s="61"/>
      <c r="BT109" s="48">
        <v>290</v>
      </c>
      <c r="BU109" s="61"/>
      <c r="BV109" s="60"/>
    </row>
    <row r="110" spans="1:74" ht="15" customHeight="1" x14ac:dyDescent="0.25">
      <c r="A110" s="42" t="s">
        <v>459</v>
      </c>
      <c r="B110" s="43" t="s">
        <v>460</v>
      </c>
      <c r="C110" s="44" t="s">
        <v>54</v>
      </c>
      <c r="D110" s="48">
        <v>110</v>
      </c>
      <c r="E110" s="45" t="s">
        <v>344</v>
      </c>
      <c r="F110" s="48" t="s">
        <v>1017</v>
      </c>
      <c r="G110" s="61" t="s">
        <v>1018</v>
      </c>
      <c r="H110" s="48" t="s">
        <v>771</v>
      </c>
      <c r="I110" s="74">
        <v>44993</v>
      </c>
      <c r="J110" s="45" t="s">
        <v>59</v>
      </c>
      <c r="K110" s="45" t="s">
        <v>998</v>
      </c>
      <c r="L110" s="45" t="s">
        <v>225</v>
      </c>
      <c r="M110" s="45" t="s">
        <v>999</v>
      </c>
      <c r="N110" s="48">
        <v>801615</v>
      </c>
      <c r="O110" s="56" t="s">
        <v>1000</v>
      </c>
      <c r="P110" s="56">
        <v>25000000</v>
      </c>
      <c r="Q110" s="56">
        <v>25000000</v>
      </c>
      <c r="R110" s="48">
        <v>23523</v>
      </c>
      <c r="S110" s="48" t="s">
        <v>89</v>
      </c>
      <c r="T110" s="48" t="s">
        <v>64</v>
      </c>
      <c r="U110" s="48" t="s">
        <v>65</v>
      </c>
      <c r="V110" s="48"/>
      <c r="W110" s="61" t="s">
        <v>1019</v>
      </c>
      <c r="X110" s="48" t="s">
        <v>997</v>
      </c>
      <c r="Y110" s="49">
        <v>44994</v>
      </c>
      <c r="Z110" s="45" t="s">
        <v>998</v>
      </c>
      <c r="AA110" s="48"/>
      <c r="AB110" s="48" t="s">
        <v>1002</v>
      </c>
      <c r="AC110" s="48" t="s">
        <v>1003</v>
      </c>
      <c r="AD110" s="48" t="s">
        <v>1020</v>
      </c>
      <c r="AE110" s="48">
        <v>1090481286</v>
      </c>
      <c r="AF110" s="48"/>
      <c r="AG110" s="45" t="s">
        <v>517</v>
      </c>
      <c r="AH110" s="45" t="s">
        <v>551</v>
      </c>
      <c r="AI110" s="45"/>
      <c r="AJ110" s="45"/>
      <c r="AK110" s="48"/>
      <c r="AL110" s="58" t="e">
        <f ca="1">+YEAR(TODAY())-YEAR([5]!Tabla1[[#This Row],[FECHA DE NACIMIENTO]])</f>
        <v>#REF!</v>
      </c>
      <c r="AM110" s="48">
        <v>47223</v>
      </c>
      <c r="AN110" s="49">
        <v>44993</v>
      </c>
      <c r="AO110" s="56">
        <v>25000000</v>
      </c>
      <c r="AP110" s="48"/>
      <c r="AQ110" s="59"/>
      <c r="AR110" s="48"/>
      <c r="AS110" s="133">
        <v>25000000</v>
      </c>
      <c r="AT110" s="45" t="s">
        <v>297</v>
      </c>
      <c r="AU110" s="49">
        <v>44994</v>
      </c>
      <c r="AV110" s="52" t="s">
        <v>74</v>
      </c>
      <c r="AW110" s="49">
        <v>45000</v>
      </c>
      <c r="AX110" s="49">
        <v>45291</v>
      </c>
      <c r="AY110" s="43">
        <v>291</v>
      </c>
      <c r="AZ110" s="56" t="s">
        <v>828</v>
      </c>
      <c r="BA110" s="45">
        <v>88151663</v>
      </c>
      <c r="BB110" s="56"/>
      <c r="BC110" s="61"/>
      <c r="BD110" s="48"/>
      <c r="BE110" s="61"/>
      <c r="BF110" s="48"/>
      <c r="BG110" s="61"/>
      <c r="BH110" s="56"/>
      <c r="BI110" s="61"/>
      <c r="BJ110" s="56">
        <v>25000000</v>
      </c>
      <c r="BK110" s="61"/>
      <c r="BL110" s="61"/>
      <c r="BM110" s="61"/>
      <c r="BN110" s="61"/>
      <c r="BO110" s="48"/>
      <c r="BP110" s="61"/>
      <c r="BQ110" s="61"/>
      <c r="BR110" s="56"/>
      <c r="BS110" s="61"/>
      <c r="BT110" s="48">
        <v>291</v>
      </c>
      <c r="BU110" s="61"/>
      <c r="BV110" s="60"/>
    </row>
    <row r="111" spans="1:74" ht="15" customHeight="1" x14ac:dyDescent="0.25">
      <c r="A111" s="134" t="s">
        <v>459</v>
      </c>
      <c r="B111" s="135" t="s">
        <v>460</v>
      </c>
      <c r="C111" s="135" t="s">
        <v>54</v>
      </c>
      <c r="D111" s="48">
        <v>153</v>
      </c>
      <c r="E111" s="45" t="s">
        <v>409</v>
      </c>
      <c r="F111" s="136" t="s">
        <v>1113</v>
      </c>
      <c r="G111" s="137" t="s">
        <v>1114</v>
      </c>
      <c r="H111" s="48" t="s">
        <v>771</v>
      </c>
      <c r="I111" s="49">
        <v>44993</v>
      </c>
      <c r="J111" s="136" t="s">
        <v>59</v>
      </c>
      <c r="K111" s="136" t="s">
        <v>128</v>
      </c>
      <c r="L111" s="45" t="s">
        <v>61</v>
      </c>
      <c r="M111" s="136" t="s">
        <v>1115</v>
      </c>
      <c r="N111" s="136">
        <v>80131502</v>
      </c>
      <c r="O111" s="48" t="s">
        <v>1116</v>
      </c>
      <c r="P111" s="138">
        <v>25139583.5</v>
      </c>
      <c r="Q111" s="138">
        <v>25139583.5</v>
      </c>
      <c r="R111" s="48">
        <v>25923</v>
      </c>
      <c r="S111" s="48" t="s">
        <v>131</v>
      </c>
      <c r="T111" s="136" t="s">
        <v>64</v>
      </c>
      <c r="U111" s="136" t="s">
        <v>65</v>
      </c>
      <c r="V111" s="45"/>
      <c r="W111" s="139" t="s">
        <v>1117</v>
      </c>
      <c r="X111" s="45" t="s">
        <v>632</v>
      </c>
      <c r="Y111" s="49">
        <v>45001</v>
      </c>
      <c r="Z111" s="45" t="s">
        <v>1118</v>
      </c>
      <c r="AA111" s="45"/>
      <c r="AB111" s="45" t="s">
        <v>1119</v>
      </c>
      <c r="AC111" s="45" t="s">
        <v>1120</v>
      </c>
      <c r="AD111" s="48" t="s">
        <v>1121</v>
      </c>
      <c r="AE111" s="45">
        <v>901317464</v>
      </c>
      <c r="AF111" s="45">
        <v>4</v>
      </c>
      <c r="AG111" s="136" t="s">
        <v>517</v>
      </c>
      <c r="AH111" s="45" t="s">
        <v>551</v>
      </c>
      <c r="AI111" s="45"/>
      <c r="AJ111" s="45"/>
      <c r="AK111" s="45" t="s">
        <v>517</v>
      </c>
      <c r="AL111" s="49" t="s">
        <v>517</v>
      </c>
      <c r="AM111" s="48">
        <v>57023</v>
      </c>
      <c r="AN111" s="49">
        <v>45001</v>
      </c>
      <c r="AO111" s="140">
        <v>25139583.5</v>
      </c>
      <c r="AP111" s="45"/>
      <c r="AQ111" s="51"/>
      <c r="AR111" s="45"/>
      <c r="AS111" s="140">
        <v>25139583.5</v>
      </c>
      <c r="AT111" s="45" t="s">
        <v>551</v>
      </c>
      <c r="AU111" s="136" t="s">
        <v>517</v>
      </c>
      <c r="AV111" s="138" t="s">
        <v>517</v>
      </c>
      <c r="AW111" s="49">
        <v>44999</v>
      </c>
      <c r="AX111" s="49">
        <v>45291</v>
      </c>
      <c r="AY111" s="135">
        <f>(AX111-AW111)</f>
        <v>292</v>
      </c>
      <c r="AZ111" s="47" t="s">
        <v>1122</v>
      </c>
      <c r="BA111" s="136">
        <v>25166983</v>
      </c>
      <c r="BB111" s="45"/>
      <c r="BC111" s="45"/>
      <c r="BD111" s="45"/>
      <c r="BE111" s="49"/>
      <c r="BF111" s="45"/>
      <c r="BG111" s="49"/>
      <c r="BH111" s="47"/>
      <c r="BI111" s="45"/>
      <c r="BJ111" s="138">
        <f>SUM(AS111+BB111+BD111+BF111-BH111)</f>
        <v>25139583.5</v>
      </c>
      <c r="BK111" s="49"/>
      <c r="BL111" s="45"/>
      <c r="BM111" s="45"/>
      <c r="BN111" s="49"/>
      <c r="BO111" s="45"/>
      <c r="BP111" s="47"/>
      <c r="BQ111" s="49"/>
      <c r="BR111" s="45"/>
      <c r="BS111" s="49"/>
      <c r="BT111" s="136">
        <f>SUM(AY111+BK111+BN111+BQ111)</f>
        <v>292</v>
      </c>
      <c r="BU111" s="45"/>
      <c r="BV111" s="52"/>
    </row>
    <row r="112" spans="1:74" ht="15" customHeight="1" x14ac:dyDescent="0.25">
      <c r="A112" s="42" t="s">
        <v>459</v>
      </c>
      <c r="B112" s="43" t="s">
        <v>460</v>
      </c>
      <c r="C112" s="44" t="s">
        <v>54</v>
      </c>
      <c r="D112" s="48">
        <v>109</v>
      </c>
      <c r="E112" s="45" t="s">
        <v>344</v>
      </c>
      <c r="F112" s="48" t="s">
        <v>1013</v>
      </c>
      <c r="G112" s="61" t="s">
        <v>1014</v>
      </c>
      <c r="H112" s="48" t="s">
        <v>771</v>
      </c>
      <c r="I112" s="74">
        <v>44994</v>
      </c>
      <c r="J112" s="45" t="s">
        <v>59</v>
      </c>
      <c r="K112" s="45" t="s">
        <v>998</v>
      </c>
      <c r="L112" s="45" t="s">
        <v>225</v>
      </c>
      <c r="M112" s="45" t="s">
        <v>999</v>
      </c>
      <c r="N112" s="48">
        <v>801615</v>
      </c>
      <c r="O112" s="56" t="s">
        <v>1000</v>
      </c>
      <c r="P112" s="56">
        <v>25000000</v>
      </c>
      <c r="Q112" s="56">
        <v>25000000</v>
      </c>
      <c r="R112" s="48">
        <v>23623</v>
      </c>
      <c r="S112" s="48" t="s">
        <v>89</v>
      </c>
      <c r="T112" s="48" t="s">
        <v>64</v>
      </c>
      <c r="U112" s="48" t="s">
        <v>65</v>
      </c>
      <c r="V112" s="48"/>
      <c r="W112" s="61" t="s">
        <v>1015</v>
      </c>
      <c r="X112" s="48" t="s">
        <v>997</v>
      </c>
      <c r="Y112" s="49">
        <v>44994</v>
      </c>
      <c r="Z112" s="45" t="s">
        <v>998</v>
      </c>
      <c r="AA112" s="48"/>
      <c r="AB112" s="48" t="s">
        <v>1002</v>
      </c>
      <c r="AC112" s="48" t="s">
        <v>1003</v>
      </c>
      <c r="AD112" s="48" t="s">
        <v>1016</v>
      </c>
      <c r="AE112" s="48">
        <v>1090512871</v>
      </c>
      <c r="AF112" s="48"/>
      <c r="AG112" s="45" t="s">
        <v>517</v>
      </c>
      <c r="AH112" s="45" t="s">
        <v>551</v>
      </c>
      <c r="AI112" s="45"/>
      <c r="AJ112" s="45"/>
      <c r="AK112" s="48"/>
      <c r="AL112" s="58" t="e">
        <f ca="1">+YEAR(TODAY())-YEAR([5]!Tabla1[[#This Row],[FECHA DE NACIMIENTO]])</f>
        <v>#REF!</v>
      </c>
      <c r="AM112" s="48">
        <v>47123</v>
      </c>
      <c r="AN112" s="49">
        <v>44993</v>
      </c>
      <c r="AO112" s="56">
        <v>25000000</v>
      </c>
      <c r="AP112" s="48"/>
      <c r="AQ112" s="59"/>
      <c r="AR112" s="48"/>
      <c r="AS112" s="133">
        <v>25000000</v>
      </c>
      <c r="AT112" s="45" t="s">
        <v>297</v>
      </c>
      <c r="AU112" s="49">
        <v>44995</v>
      </c>
      <c r="AV112" s="45" t="s">
        <v>74</v>
      </c>
      <c r="AW112" s="49">
        <v>45001</v>
      </c>
      <c r="AX112" s="49">
        <v>45291</v>
      </c>
      <c r="AY112" s="43">
        <v>290</v>
      </c>
      <c r="AZ112" s="56" t="s">
        <v>828</v>
      </c>
      <c r="BA112" s="45">
        <v>88151663</v>
      </c>
      <c r="BB112" s="56"/>
      <c r="BC112" s="61"/>
      <c r="BD112" s="48"/>
      <c r="BE112" s="61"/>
      <c r="BF112" s="48"/>
      <c r="BG112" s="61"/>
      <c r="BH112" s="56"/>
      <c r="BI112" s="61"/>
      <c r="BJ112" s="56">
        <v>25000000</v>
      </c>
      <c r="BK112" s="61"/>
      <c r="BL112" s="61"/>
      <c r="BM112" s="61"/>
      <c r="BN112" s="61"/>
      <c r="BO112" s="48"/>
      <c r="BP112" s="61"/>
      <c r="BQ112" s="61"/>
      <c r="BR112" s="56"/>
      <c r="BS112" s="61"/>
      <c r="BT112" s="48">
        <v>290</v>
      </c>
      <c r="BU112" s="61"/>
      <c r="BV112" s="60"/>
    </row>
    <row r="113" spans="1:74" ht="15" customHeight="1" x14ac:dyDescent="0.25">
      <c r="A113" s="42" t="s">
        <v>459</v>
      </c>
      <c r="B113" s="43" t="s">
        <v>460</v>
      </c>
      <c r="C113" s="44" t="s">
        <v>54</v>
      </c>
      <c r="D113" s="45">
        <v>120</v>
      </c>
      <c r="E113" s="45" t="s">
        <v>55</v>
      </c>
      <c r="F113" s="45" t="s">
        <v>791</v>
      </c>
      <c r="G113" s="48" t="s">
        <v>790</v>
      </c>
      <c r="H113" s="45" t="s">
        <v>771</v>
      </c>
      <c r="I113" s="77">
        <v>44995</v>
      </c>
      <c r="J113" s="45" t="s">
        <v>492</v>
      </c>
      <c r="K113" s="45" t="s">
        <v>493</v>
      </c>
      <c r="L113" s="48" t="s">
        <v>340</v>
      </c>
      <c r="M113" s="45" t="s">
        <v>792</v>
      </c>
      <c r="N113" s="48">
        <v>40141700</v>
      </c>
      <c r="O113" s="48" t="s">
        <v>793</v>
      </c>
      <c r="P113" s="56">
        <v>220000000</v>
      </c>
      <c r="Q113" s="56">
        <v>220000000</v>
      </c>
      <c r="R113" s="48">
        <v>23722</v>
      </c>
      <c r="S113" s="48" t="s">
        <v>794</v>
      </c>
      <c r="T113" s="45" t="s">
        <v>448</v>
      </c>
      <c r="U113" s="48"/>
      <c r="V113" s="48"/>
      <c r="W113" s="48"/>
      <c r="X113" s="48"/>
      <c r="Y113" s="46"/>
      <c r="Z113" s="48"/>
      <c r="AA113" s="48"/>
      <c r="AB113" s="48"/>
      <c r="AC113" s="48"/>
      <c r="AD113" s="48"/>
      <c r="AE113" s="48"/>
      <c r="AF113" s="48"/>
      <c r="AG113" s="48"/>
      <c r="AH113" s="48"/>
      <c r="AI113" s="45"/>
      <c r="AJ113" s="45"/>
      <c r="AK113" s="48"/>
      <c r="AL113" s="58">
        <f ca="1">+YEAR(TODAY())-YEAR(Tabla13[[#This Row],[FECHA DE NACIMIENTO]])</f>
        <v>123</v>
      </c>
      <c r="AM113" s="48"/>
      <c r="AN113" s="61"/>
      <c r="AO113" s="56"/>
      <c r="AP113" s="48"/>
      <c r="AQ113" s="48"/>
      <c r="AR113" s="48"/>
      <c r="AS113" s="133"/>
      <c r="AT113" s="48"/>
      <c r="AU113" s="61"/>
      <c r="AV113" s="48"/>
      <c r="AW113" s="61"/>
      <c r="AX113" s="61"/>
      <c r="AY113" s="44">
        <f>(AX113-AW113)</f>
        <v>0</v>
      </c>
      <c r="AZ113" s="48"/>
      <c r="BA113" s="48"/>
      <c r="BB113" s="56"/>
      <c r="BC113" s="61"/>
      <c r="BD113" s="48"/>
      <c r="BE113" s="48"/>
      <c r="BF113" s="48"/>
      <c r="BG113" s="61"/>
      <c r="BH113" s="48"/>
      <c r="BI113" s="61"/>
      <c r="BJ113" s="56"/>
      <c r="BK113" s="48"/>
      <c r="BL113" s="61"/>
      <c r="BM113" s="61"/>
      <c r="BN113" s="48"/>
      <c r="BO113" s="48"/>
      <c r="BP113" s="61"/>
      <c r="BQ113" s="48"/>
      <c r="BR113" s="56"/>
      <c r="BS113" s="61"/>
      <c r="BT113" s="48"/>
      <c r="BU113" s="61"/>
      <c r="BV113" s="60"/>
    </row>
    <row r="114" spans="1:74" ht="15" customHeight="1" x14ac:dyDescent="0.25">
      <c r="A114" s="42" t="s">
        <v>459</v>
      </c>
      <c r="B114" s="43" t="s">
        <v>460</v>
      </c>
      <c r="C114" s="44" t="s">
        <v>54</v>
      </c>
      <c r="D114" s="48">
        <v>152</v>
      </c>
      <c r="E114" s="48" t="s">
        <v>345</v>
      </c>
      <c r="F114" s="48" t="s">
        <v>933</v>
      </c>
      <c r="G114" s="61" t="s">
        <v>934</v>
      </c>
      <c r="H114" s="48" t="s">
        <v>771</v>
      </c>
      <c r="I114" s="77">
        <v>44995</v>
      </c>
      <c r="J114" s="48" t="s">
        <v>59</v>
      </c>
      <c r="K114" s="48" t="s">
        <v>128</v>
      </c>
      <c r="L114" s="48" t="s">
        <v>340</v>
      </c>
      <c r="M114" s="48" t="s">
        <v>935</v>
      </c>
      <c r="N114" s="48">
        <v>80131502</v>
      </c>
      <c r="O114" s="56" t="s">
        <v>936</v>
      </c>
      <c r="P114" s="56">
        <v>16410000</v>
      </c>
      <c r="Q114" s="56">
        <v>14250000</v>
      </c>
      <c r="R114" s="48">
        <v>25823</v>
      </c>
      <c r="S114" s="48" t="s">
        <v>937</v>
      </c>
      <c r="T114" s="48" t="s">
        <v>64</v>
      </c>
      <c r="U114" s="48" t="s">
        <v>65</v>
      </c>
      <c r="V114" s="48" t="s">
        <v>517</v>
      </c>
      <c r="W114" s="61" t="s">
        <v>938</v>
      </c>
      <c r="X114" s="45" t="s">
        <v>771</v>
      </c>
      <c r="Y114" s="61">
        <v>45001</v>
      </c>
      <c r="Z114" s="48" t="s">
        <v>939</v>
      </c>
      <c r="AA114" s="48"/>
      <c r="AB114" s="48" t="s">
        <v>940</v>
      </c>
      <c r="AC114" s="48" t="s">
        <v>941</v>
      </c>
      <c r="AD114" s="48" t="s">
        <v>942</v>
      </c>
      <c r="AE114" s="48">
        <v>98324134</v>
      </c>
      <c r="AF114" s="48" t="s">
        <v>517</v>
      </c>
      <c r="AG114" s="48" t="s">
        <v>517</v>
      </c>
      <c r="AH114" s="48"/>
      <c r="AI114" s="45"/>
      <c r="AJ114" s="45"/>
      <c r="AK114" s="48" t="s">
        <v>517</v>
      </c>
      <c r="AL114" s="58" t="e">
        <f ca="1">+YEAR(TODAY())-YEAR([6]!Tabla1[[#This Row],[FECHA DE NACIMIENTO]])</f>
        <v>#REF!</v>
      </c>
      <c r="AM114" s="45">
        <v>56923</v>
      </c>
      <c r="AN114" s="61">
        <v>45001</v>
      </c>
      <c r="AO114" s="56">
        <v>14250000</v>
      </c>
      <c r="AP114" s="48"/>
      <c r="AQ114" s="59"/>
      <c r="AR114" s="48"/>
      <c r="AS114" s="59">
        <v>14250000</v>
      </c>
      <c r="AT114" s="48" t="s">
        <v>478</v>
      </c>
      <c r="AU114" s="61" t="s">
        <v>517</v>
      </c>
      <c r="AV114" s="61" t="s">
        <v>517</v>
      </c>
      <c r="AW114" s="61">
        <v>45001</v>
      </c>
      <c r="AX114" s="61">
        <v>45291</v>
      </c>
      <c r="AY114" s="44">
        <f>(AX114-AW114)</f>
        <v>290</v>
      </c>
      <c r="AZ114" s="56" t="s">
        <v>943</v>
      </c>
      <c r="BA114" s="45">
        <v>30738603</v>
      </c>
      <c r="BB114" s="56"/>
      <c r="BC114" s="61"/>
      <c r="BD114" s="48"/>
      <c r="BE114" s="61"/>
      <c r="BF114" s="48"/>
      <c r="BG114" s="61"/>
      <c r="BH114" s="56"/>
      <c r="BI114" s="61"/>
      <c r="BJ114" s="47" t="e">
        <f>([6]!Tabla1[[#This Row],[VALOR TOTAL CONTRATO + VF]]+[6]!Tabla1[[#This Row],[ADICION 1 ]]+[6]!Tabla1[[#This Row],[ADICION 2]]-[6]!Tabla1[[#This Row],[LIBERACION]])</f>
        <v>#REF!</v>
      </c>
      <c r="BK114" s="61"/>
      <c r="BL114" s="61"/>
      <c r="BM114" s="61"/>
      <c r="BN114" s="61"/>
      <c r="BO114" s="48"/>
      <c r="BP114" s="61"/>
      <c r="BQ114" s="61"/>
      <c r="BR114" s="56"/>
      <c r="BS114" s="61"/>
      <c r="BT114" s="48">
        <f>SUM(AY114+BK114+BN114+BQ114)</f>
        <v>290</v>
      </c>
      <c r="BU114" s="61"/>
      <c r="BV114" s="60"/>
    </row>
    <row r="115" spans="1:74" ht="15" customHeight="1" x14ac:dyDescent="0.25">
      <c r="A115" s="43" t="s">
        <v>459</v>
      </c>
      <c r="B115" s="43" t="s">
        <v>460</v>
      </c>
      <c r="C115" s="44" t="s">
        <v>54</v>
      </c>
      <c r="D115" s="48">
        <v>99</v>
      </c>
      <c r="E115" s="45" t="s">
        <v>344</v>
      </c>
      <c r="F115" s="48" t="s">
        <v>1021</v>
      </c>
      <c r="G115" s="61" t="s">
        <v>1022</v>
      </c>
      <c r="H115" s="48" t="s">
        <v>771</v>
      </c>
      <c r="I115" s="74">
        <v>44995</v>
      </c>
      <c r="J115" s="45" t="s">
        <v>59</v>
      </c>
      <c r="K115" s="45" t="s">
        <v>998</v>
      </c>
      <c r="L115" s="45" t="s">
        <v>225</v>
      </c>
      <c r="M115" s="45" t="s">
        <v>999</v>
      </c>
      <c r="N115" s="48">
        <v>801615</v>
      </c>
      <c r="O115" s="56" t="s">
        <v>1000</v>
      </c>
      <c r="P115" s="56">
        <v>30000000</v>
      </c>
      <c r="Q115" s="56">
        <v>30000000</v>
      </c>
      <c r="R115" s="48">
        <v>25223</v>
      </c>
      <c r="S115" s="48" t="s">
        <v>89</v>
      </c>
      <c r="T115" s="48" t="s">
        <v>64</v>
      </c>
      <c r="U115" s="48" t="s">
        <v>65</v>
      </c>
      <c r="V115" s="48"/>
      <c r="W115" s="61" t="s">
        <v>1023</v>
      </c>
      <c r="X115" s="48" t="s">
        <v>997</v>
      </c>
      <c r="Y115" s="49">
        <v>44998</v>
      </c>
      <c r="Z115" s="45" t="s">
        <v>67</v>
      </c>
      <c r="AA115" s="48"/>
      <c r="AB115" s="48" t="s">
        <v>1002</v>
      </c>
      <c r="AC115" s="48" t="s">
        <v>1003</v>
      </c>
      <c r="AD115" s="48" t="s">
        <v>1024</v>
      </c>
      <c r="AE115" s="48">
        <v>1101694114</v>
      </c>
      <c r="AF115" s="48"/>
      <c r="AG115" s="45" t="s">
        <v>517</v>
      </c>
      <c r="AH115" s="45" t="s">
        <v>551</v>
      </c>
      <c r="AI115" s="45"/>
      <c r="AJ115" s="45"/>
      <c r="AK115" s="48"/>
      <c r="AL115" s="58" t="e">
        <f ca="1">+YEAR(TODAY())-YEAR([5]!Tabla1[[#This Row],[FECHA DE NACIMIENTO]])</f>
        <v>#REF!</v>
      </c>
      <c r="AM115" s="48">
        <v>52323</v>
      </c>
      <c r="AN115" s="49">
        <v>44994</v>
      </c>
      <c r="AO115" s="56">
        <v>30000000</v>
      </c>
      <c r="AP115" s="48"/>
      <c r="AQ115" s="59"/>
      <c r="AR115" s="48"/>
      <c r="AS115" s="59">
        <v>30000000</v>
      </c>
      <c r="AT115" s="45" t="s">
        <v>297</v>
      </c>
      <c r="AU115" s="49">
        <v>44998</v>
      </c>
      <c r="AV115" s="45" t="s">
        <v>74</v>
      </c>
      <c r="AW115" s="49">
        <v>45000</v>
      </c>
      <c r="AX115" s="49">
        <v>45291</v>
      </c>
      <c r="AY115" s="43">
        <v>291</v>
      </c>
      <c r="AZ115" s="56" t="s">
        <v>828</v>
      </c>
      <c r="BA115" s="45">
        <v>88151663</v>
      </c>
      <c r="BB115" s="56"/>
      <c r="BC115" s="61"/>
      <c r="BD115" s="48"/>
      <c r="BE115" s="61"/>
      <c r="BF115" s="48"/>
      <c r="BG115" s="61"/>
      <c r="BH115" s="56"/>
      <c r="BI115" s="61"/>
      <c r="BJ115" s="56">
        <v>30000000</v>
      </c>
      <c r="BK115" s="61"/>
      <c r="BL115" s="61"/>
      <c r="BM115" s="61"/>
      <c r="BN115" s="61"/>
      <c r="BO115" s="48"/>
      <c r="BP115" s="61"/>
      <c r="BQ115" s="61"/>
      <c r="BR115" s="56"/>
      <c r="BS115" s="61"/>
      <c r="BT115" s="48">
        <v>291</v>
      </c>
      <c r="BU115" s="61"/>
      <c r="BV115" s="60"/>
    </row>
    <row r="116" spans="1:74" ht="15" customHeight="1" x14ac:dyDescent="0.25">
      <c r="A116" s="43" t="s">
        <v>459</v>
      </c>
      <c r="B116" s="43" t="s">
        <v>460</v>
      </c>
      <c r="C116" s="44" t="s">
        <v>54</v>
      </c>
      <c r="D116" s="48">
        <v>100</v>
      </c>
      <c r="E116" s="45" t="s">
        <v>344</v>
      </c>
      <c r="F116" s="48" t="s">
        <v>1025</v>
      </c>
      <c r="G116" s="61" t="s">
        <v>1026</v>
      </c>
      <c r="H116" s="48" t="s">
        <v>771</v>
      </c>
      <c r="I116" s="74">
        <v>44995</v>
      </c>
      <c r="J116" s="45" t="s">
        <v>59</v>
      </c>
      <c r="K116" s="45" t="s">
        <v>998</v>
      </c>
      <c r="L116" s="45" t="s">
        <v>225</v>
      </c>
      <c r="M116" s="45" t="s">
        <v>999</v>
      </c>
      <c r="N116" s="48">
        <v>801615</v>
      </c>
      <c r="O116" s="56" t="s">
        <v>1000</v>
      </c>
      <c r="P116" s="56">
        <v>30000000</v>
      </c>
      <c r="Q116" s="56">
        <v>30000000</v>
      </c>
      <c r="R116" s="48">
        <v>25023</v>
      </c>
      <c r="S116" s="48" t="s">
        <v>89</v>
      </c>
      <c r="T116" s="48" t="s">
        <v>64</v>
      </c>
      <c r="U116" s="48" t="s">
        <v>65</v>
      </c>
      <c r="V116" s="48"/>
      <c r="W116" s="61" t="s">
        <v>1027</v>
      </c>
      <c r="X116" s="48" t="s">
        <v>997</v>
      </c>
      <c r="Y116" s="49">
        <v>44998</v>
      </c>
      <c r="Z116" s="45" t="s">
        <v>67</v>
      </c>
      <c r="AA116" s="48"/>
      <c r="AB116" s="48" t="s">
        <v>1002</v>
      </c>
      <c r="AC116" s="48" t="s">
        <v>1003</v>
      </c>
      <c r="AD116" s="48" t="s">
        <v>1028</v>
      </c>
      <c r="AE116" s="48">
        <v>1090416279</v>
      </c>
      <c r="AF116" s="48"/>
      <c r="AG116" s="45" t="s">
        <v>517</v>
      </c>
      <c r="AH116" s="45" t="s">
        <v>551</v>
      </c>
      <c r="AI116" s="45"/>
      <c r="AJ116" s="45"/>
      <c r="AK116" s="48"/>
      <c r="AL116" s="58" t="e">
        <f ca="1">+YEAR(TODAY())-YEAR([5]!Tabla1[[#This Row],[FECHA DE NACIMIENTO]])</f>
        <v>#REF!</v>
      </c>
      <c r="AM116" s="48">
        <v>52523</v>
      </c>
      <c r="AN116" s="49">
        <v>44994</v>
      </c>
      <c r="AO116" s="56">
        <v>30000000</v>
      </c>
      <c r="AP116" s="48"/>
      <c r="AQ116" s="59"/>
      <c r="AR116" s="48"/>
      <c r="AS116" s="59">
        <v>30000000</v>
      </c>
      <c r="AT116" s="45" t="s">
        <v>297</v>
      </c>
      <c r="AU116" s="49">
        <v>44999</v>
      </c>
      <c r="AV116" s="45" t="s">
        <v>74</v>
      </c>
      <c r="AW116" s="49">
        <v>45001</v>
      </c>
      <c r="AX116" s="49">
        <v>45291</v>
      </c>
      <c r="AY116" s="43">
        <v>290</v>
      </c>
      <c r="AZ116" s="56" t="s">
        <v>828</v>
      </c>
      <c r="BA116" s="45">
        <v>88151663</v>
      </c>
      <c r="BB116" s="56"/>
      <c r="BC116" s="61"/>
      <c r="BD116" s="48"/>
      <c r="BE116" s="61"/>
      <c r="BF116" s="48"/>
      <c r="BG116" s="61"/>
      <c r="BH116" s="56"/>
      <c r="BI116" s="61"/>
      <c r="BJ116" s="56">
        <v>30000000</v>
      </c>
      <c r="BK116" s="61"/>
      <c r="BL116" s="61"/>
      <c r="BM116" s="61"/>
      <c r="BN116" s="61"/>
      <c r="BO116" s="48"/>
      <c r="BP116" s="61"/>
      <c r="BQ116" s="61"/>
      <c r="BR116" s="56"/>
      <c r="BS116" s="61"/>
      <c r="BT116" s="48">
        <v>290</v>
      </c>
      <c r="BU116" s="61"/>
      <c r="BV116" s="60"/>
    </row>
    <row r="117" spans="1:74" ht="15" customHeight="1" x14ac:dyDescent="0.25">
      <c r="A117" s="43" t="s">
        <v>459</v>
      </c>
      <c r="B117" s="43" t="s">
        <v>460</v>
      </c>
      <c r="C117" s="44" t="s">
        <v>54</v>
      </c>
      <c r="D117" s="48">
        <v>101</v>
      </c>
      <c r="E117" s="45" t="s">
        <v>344</v>
      </c>
      <c r="F117" s="48" t="s">
        <v>1029</v>
      </c>
      <c r="G117" s="61" t="s">
        <v>1030</v>
      </c>
      <c r="H117" s="48" t="s">
        <v>771</v>
      </c>
      <c r="I117" s="74">
        <v>44995</v>
      </c>
      <c r="J117" s="45" t="s">
        <v>59</v>
      </c>
      <c r="K117" s="45" t="s">
        <v>998</v>
      </c>
      <c r="L117" s="45" t="s">
        <v>225</v>
      </c>
      <c r="M117" s="45" t="s">
        <v>999</v>
      </c>
      <c r="N117" s="48">
        <v>801615</v>
      </c>
      <c r="O117" s="56" t="s">
        <v>1000</v>
      </c>
      <c r="P117" s="56">
        <v>30000000</v>
      </c>
      <c r="Q117" s="56">
        <v>30000000</v>
      </c>
      <c r="R117" s="48">
        <v>25123</v>
      </c>
      <c r="S117" s="48" t="s">
        <v>89</v>
      </c>
      <c r="T117" s="48" t="s">
        <v>64</v>
      </c>
      <c r="U117" s="48" t="s">
        <v>1031</v>
      </c>
      <c r="V117" s="48"/>
      <c r="W117" s="61" t="s">
        <v>517</v>
      </c>
      <c r="X117" s="48" t="s">
        <v>997</v>
      </c>
      <c r="Y117" s="61" t="s">
        <v>517</v>
      </c>
      <c r="Z117" s="45" t="s">
        <v>67</v>
      </c>
      <c r="AA117" s="48"/>
      <c r="AB117" s="48" t="s">
        <v>1002</v>
      </c>
      <c r="AC117" s="48" t="s">
        <v>1003</v>
      </c>
      <c r="AD117" s="48" t="s">
        <v>1032</v>
      </c>
      <c r="AE117" s="48">
        <v>1090504513</v>
      </c>
      <c r="AF117" s="48"/>
      <c r="AG117" s="45" t="s">
        <v>517</v>
      </c>
      <c r="AH117" s="45" t="s">
        <v>551</v>
      </c>
      <c r="AI117" s="45"/>
      <c r="AJ117" s="45"/>
      <c r="AK117" s="48"/>
      <c r="AL117" s="58" t="e">
        <f ca="1">+YEAR(TODAY())-YEAR([5]!Tabla1[[#This Row],[FECHA DE NACIMIENTO]])</f>
        <v>#REF!</v>
      </c>
      <c r="AM117" s="48">
        <v>52623</v>
      </c>
      <c r="AN117" s="49">
        <v>44994</v>
      </c>
      <c r="AO117" s="56">
        <v>30000000</v>
      </c>
      <c r="AP117" s="48"/>
      <c r="AQ117" s="59"/>
      <c r="AR117" s="48"/>
      <c r="AS117" s="59">
        <v>30000000</v>
      </c>
      <c r="AT117" s="45" t="s">
        <v>297</v>
      </c>
      <c r="AU117" s="61" t="s">
        <v>517</v>
      </c>
      <c r="AV117" s="61" t="s">
        <v>517</v>
      </c>
      <c r="AW117" s="61" t="s">
        <v>517</v>
      </c>
      <c r="AX117" s="61" t="s">
        <v>517</v>
      </c>
      <c r="AY117" s="43" t="s">
        <v>517</v>
      </c>
      <c r="AZ117" s="56" t="s">
        <v>828</v>
      </c>
      <c r="BA117" s="45">
        <v>88151663</v>
      </c>
      <c r="BB117" s="56"/>
      <c r="BC117" s="61"/>
      <c r="BD117" s="48"/>
      <c r="BE117" s="61"/>
      <c r="BF117" s="48"/>
      <c r="BG117" s="61"/>
      <c r="BH117" s="56"/>
      <c r="BI117" s="61"/>
      <c r="BJ117" s="56">
        <v>30000000</v>
      </c>
      <c r="BK117" s="61"/>
      <c r="BL117" s="61"/>
      <c r="BM117" s="61"/>
      <c r="BN117" s="61"/>
      <c r="BO117" s="48"/>
      <c r="BP117" s="61"/>
      <c r="BQ117" s="61"/>
      <c r="BR117" s="56"/>
      <c r="BS117" s="61"/>
      <c r="BT117" s="48" t="s">
        <v>517</v>
      </c>
      <c r="BU117" s="61"/>
      <c r="BV117" s="60"/>
    </row>
    <row r="118" spans="1:74" ht="15" customHeight="1" x14ac:dyDescent="0.25">
      <c r="A118" s="63" t="s">
        <v>459</v>
      </c>
      <c r="B118" s="63" t="s">
        <v>460</v>
      </c>
      <c r="C118" s="64" t="s">
        <v>54</v>
      </c>
      <c r="D118" s="121">
        <v>118</v>
      </c>
      <c r="E118" s="65" t="s">
        <v>221</v>
      </c>
      <c r="F118" s="121" t="s">
        <v>839</v>
      </c>
      <c r="G118" s="123" t="s">
        <v>840</v>
      </c>
      <c r="H118" s="121" t="s">
        <v>771</v>
      </c>
      <c r="I118" s="124">
        <v>44998</v>
      </c>
      <c r="J118" s="121" t="s">
        <v>59</v>
      </c>
      <c r="K118" s="65" t="s">
        <v>60</v>
      </c>
      <c r="L118" s="121" t="s">
        <v>841</v>
      </c>
      <c r="M118" s="65" t="s">
        <v>842</v>
      </c>
      <c r="N118" s="126" t="s">
        <v>843</v>
      </c>
      <c r="O118" s="67" t="s">
        <v>844</v>
      </c>
      <c r="P118" s="126">
        <v>24000000</v>
      </c>
      <c r="Q118" s="126">
        <v>24000000</v>
      </c>
      <c r="R118" s="121">
        <v>26723</v>
      </c>
      <c r="S118" s="121" t="s">
        <v>63</v>
      </c>
      <c r="T118" s="65" t="s">
        <v>64</v>
      </c>
      <c r="U118" s="65" t="s">
        <v>65</v>
      </c>
      <c r="V118" s="65"/>
      <c r="W118" s="123" t="s">
        <v>845</v>
      </c>
      <c r="X118" s="65" t="s">
        <v>771</v>
      </c>
      <c r="Y118" s="127">
        <v>44999</v>
      </c>
      <c r="Z118" s="65" t="s">
        <v>60</v>
      </c>
      <c r="AA118" s="121"/>
      <c r="AB118" s="65" t="s">
        <v>68</v>
      </c>
      <c r="AC118" s="65" t="s">
        <v>69</v>
      </c>
      <c r="AD118" s="121" t="s">
        <v>846</v>
      </c>
      <c r="AE118" s="121">
        <v>51727720</v>
      </c>
      <c r="AF118" s="65" t="s">
        <v>141</v>
      </c>
      <c r="AG118" s="121" t="s">
        <v>591</v>
      </c>
      <c r="AH118" s="65" t="s">
        <v>551</v>
      </c>
      <c r="AI118" s="65" t="s">
        <v>467</v>
      </c>
      <c r="AJ118" s="121" t="s">
        <v>517</v>
      </c>
      <c r="AK118" s="71">
        <v>23593</v>
      </c>
      <c r="AL118" s="129" t="e">
        <f ca="1">+YEAR(TODAY())-YEAR([3]!Tabla1[[#This Row],[FECHA DE NACIMIENTO]])</f>
        <v>#REF!</v>
      </c>
      <c r="AM118" s="65">
        <v>56723</v>
      </c>
      <c r="AN118" s="66">
        <v>45001</v>
      </c>
      <c r="AO118" s="126">
        <v>24000000</v>
      </c>
      <c r="AP118" s="121"/>
      <c r="AQ118" s="130"/>
      <c r="AR118" s="121"/>
      <c r="AS118" s="126">
        <v>24000000</v>
      </c>
      <c r="AT118" s="65" t="s">
        <v>75</v>
      </c>
      <c r="AU118" s="66">
        <v>45001</v>
      </c>
      <c r="AV118" s="65" t="s">
        <v>74</v>
      </c>
      <c r="AW118" s="66">
        <v>45002</v>
      </c>
      <c r="AX118" s="66">
        <v>45216</v>
      </c>
      <c r="AY118" s="64">
        <f t="shared" ref="AY118:AY123" si="11">(AX118-AW118)</f>
        <v>214</v>
      </c>
      <c r="AZ118" s="67" t="s">
        <v>438</v>
      </c>
      <c r="BA118" s="65">
        <v>51832657</v>
      </c>
      <c r="BB118" s="126"/>
      <c r="BC118" s="123"/>
      <c r="BD118" s="121"/>
      <c r="BE118" s="123"/>
      <c r="BF118" s="121"/>
      <c r="BG118" s="123"/>
      <c r="BH118" s="126"/>
      <c r="BI118" s="123"/>
      <c r="BJ118" s="67" t="e">
        <f>([3]!Tabla1[[#This Row],[VALOR TOTAL CONTRATO + VF]]+[3]!Tabla1[[#This Row],[ADICION 1 ]]+[3]!Tabla1[[#This Row],[ADICION 2]]-[3]!Tabla1[[#This Row],[LIBERACION]])</f>
        <v>#REF!</v>
      </c>
      <c r="BK118" s="123"/>
      <c r="BL118" s="123"/>
      <c r="BM118" s="123"/>
      <c r="BN118" s="123"/>
      <c r="BO118" s="121"/>
      <c r="BP118" s="123"/>
      <c r="BQ118" s="123"/>
      <c r="BR118" s="126"/>
      <c r="BS118" s="123"/>
      <c r="BT118" s="65">
        <f t="shared" ref="BT118:BT123" si="12">SUM(AY118+BK118+BN118+BQ118)</f>
        <v>214</v>
      </c>
      <c r="BU118" s="123"/>
      <c r="BV118" s="132"/>
    </row>
    <row r="119" spans="1:74" ht="15" customHeight="1" x14ac:dyDescent="0.25">
      <c r="A119" s="63" t="s">
        <v>459</v>
      </c>
      <c r="B119" s="63" t="s">
        <v>460</v>
      </c>
      <c r="C119" s="64" t="s">
        <v>54</v>
      </c>
      <c r="D119" s="121">
        <v>191</v>
      </c>
      <c r="E119" s="65" t="s">
        <v>221</v>
      </c>
      <c r="F119" s="121" t="s">
        <v>847</v>
      </c>
      <c r="G119" s="123" t="s">
        <v>848</v>
      </c>
      <c r="H119" s="121" t="s">
        <v>771</v>
      </c>
      <c r="I119" s="124">
        <v>44998</v>
      </c>
      <c r="J119" s="121" t="s">
        <v>849</v>
      </c>
      <c r="K119" s="65" t="s">
        <v>60</v>
      </c>
      <c r="L119" s="65" t="s">
        <v>61</v>
      </c>
      <c r="M119" s="65" t="s">
        <v>850</v>
      </c>
      <c r="N119" s="126" t="s">
        <v>851</v>
      </c>
      <c r="O119" s="67" t="s">
        <v>852</v>
      </c>
      <c r="P119" s="126">
        <v>70000000</v>
      </c>
      <c r="Q119" s="126">
        <v>70000000</v>
      </c>
      <c r="R119" s="121">
        <v>20723</v>
      </c>
      <c r="S119" s="121" t="s">
        <v>853</v>
      </c>
      <c r="T119" s="65" t="s">
        <v>516</v>
      </c>
      <c r="U119" s="65" t="s">
        <v>517</v>
      </c>
      <c r="V119" s="121"/>
      <c r="W119" s="123"/>
      <c r="X119" s="121"/>
      <c r="Y119" s="123"/>
      <c r="Z119" s="121"/>
      <c r="AA119" s="121"/>
      <c r="AB119" s="121"/>
      <c r="AC119" s="121"/>
      <c r="AD119" s="121"/>
      <c r="AE119" s="121"/>
      <c r="AF119" s="121"/>
      <c r="AG119" s="121"/>
      <c r="AH119" s="121"/>
      <c r="AI119" s="65"/>
      <c r="AJ119" s="65"/>
      <c r="AK119" s="71"/>
      <c r="AL119" s="129" t="e">
        <f ca="1">+YEAR(TODAY())-YEAR([3]!Tabla1[[#This Row],[FECHA DE NACIMIENTO]])</f>
        <v>#REF!</v>
      </c>
      <c r="AM119" s="65"/>
      <c r="AN119" s="66"/>
      <c r="AO119" s="126"/>
      <c r="AP119" s="121"/>
      <c r="AQ119" s="130"/>
      <c r="AR119" s="121"/>
      <c r="AS119" s="141"/>
      <c r="AT119" s="121"/>
      <c r="AU119" s="66"/>
      <c r="AV119" s="123"/>
      <c r="AW119" s="66"/>
      <c r="AX119" s="66"/>
      <c r="AY119" s="64">
        <f t="shared" si="11"/>
        <v>0</v>
      </c>
      <c r="AZ119" s="126"/>
      <c r="BA119" s="65"/>
      <c r="BB119" s="126"/>
      <c r="BC119" s="123"/>
      <c r="BD119" s="121"/>
      <c r="BE119" s="123"/>
      <c r="BF119" s="121"/>
      <c r="BG119" s="123"/>
      <c r="BH119" s="126"/>
      <c r="BI119" s="123"/>
      <c r="BJ119" s="126"/>
      <c r="BK119" s="123"/>
      <c r="BL119" s="123"/>
      <c r="BM119" s="123"/>
      <c r="BN119" s="123"/>
      <c r="BO119" s="121"/>
      <c r="BP119" s="123"/>
      <c r="BQ119" s="123"/>
      <c r="BR119" s="126"/>
      <c r="BS119" s="123"/>
      <c r="BT119" s="65">
        <f t="shared" si="12"/>
        <v>0</v>
      </c>
      <c r="BU119" s="123"/>
      <c r="BV119" s="132"/>
    </row>
    <row r="120" spans="1:74" ht="15" customHeight="1" x14ac:dyDescent="0.25">
      <c r="A120" s="135" t="s">
        <v>459</v>
      </c>
      <c r="B120" s="135" t="s">
        <v>460</v>
      </c>
      <c r="C120" s="135" t="s">
        <v>481</v>
      </c>
      <c r="D120" s="45">
        <v>139</v>
      </c>
      <c r="E120" s="45" t="s">
        <v>409</v>
      </c>
      <c r="F120" s="45" t="s">
        <v>1147</v>
      </c>
      <c r="G120" s="50">
        <v>146163</v>
      </c>
      <c r="H120" s="48" t="s">
        <v>771</v>
      </c>
      <c r="I120" s="49">
        <v>44998</v>
      </c>
      <c r="J120" s="45" t="s">
        <v>1124</v>
      </c>
      <c r="K120" s="45" t="s">
        <v>1125</v>
      </c>
      <c r="L120" s="142" t="s">
        <v>768</v>
      </c>
      <c r="M120" s="143" t="s">
        <v>1319</v>
      </c>
      <c r="N120" s="136">
        <v>76111501</v>
      </c>
      <c r="O120" s="144" t="s">
        <v>1142</v>
      </c>
      <c r="P120" s="145">
        <v>78950587</v>
      </c>
      <c r="Q120" s="145">
        <v>78950587</v>
      </c>
      <c r="R120" s="45">
        <v>28623</v>
      </c>
      <c r="S120" s="48" t="s">
        <v>1040</v>
      </c>
      <c r="T120" s="136" t="s">
        <v>64</v>
      </c>
      <c r="U120" s="136" t="s">
        <v>65</v>
      </c>
      <c r="V120" s="45"/>
      <c r="W120" s="137" t="s">
        <v>1320</v>
      </c>
      <c r="X120" s="45" t="s">
        <v>1253</v>
      </c>
      <c r="Y120" s="49">
        <v>45019</v>
      </c>
      <c r="Z120" s="45" t="s">
        <v>1254</v>
      </c>
      <c r="AA120" s="45"/>
      <c r="AB120" s="45" t="s">
        <v>1321</v>
      </c>
      <c r="AC120" s="45"/>
      <c r="AD120" s="146" t="s">
        <v>1322</v>
      </c>
      <c r="AE120" s="45">
        <v>800093388</v>
      </c>
      <c r="AF120" s="45">
        <v>2</v>
      </c>
      <c r="AG120" s="45" t="s">
        <v>517</v>
      </c>
      <c r="AH120" s="45"/>
      <c r="AI120" s="45"/>
      <c r="AJ120" s="45"/>
      <c r="AK120" s="45" t="s">
        <v>517</v>
      </c>
      <c r="AL120" s="49" t="s">
        <v>517</v>
      </c>
      <c r="AM120" s="48">
        <v>66323</v>
      </c>
      <c r="AN120" s="49">
        <v>45021</v>
      </c>
      <c r="AO120" s="147">
        <v>78950587.099999994</v>
      </c>
      <c r="AP120" s="45"/>
      <c r="AQ120" s="51"/>
      <c r="AR120" s="45"/>
      <c r="AS120" s="148">
        <f>SUM(AO120+AP120+AQ120+AR120)</f>
        <v>78950587.099999994</v>
      </c>
      <c r="AT120" s="45" t="s">
        <v>297</v>
      </c>
      <c r="AU120" s="49">
        <v>45021</v>
      </c>
      <c r="AV120" s="136" t="s">
        <v>74</v>
      </c>
      <c r="AW120" s="49">
        <v>45019</v>
      </c>
      <c r="AX120" s="49">
        <v>45291</v>
      </c>
      <c r="AY120" s="135">
        <f t="shared" si="11"/>
        <v>272</v>
      </c>
      <c r="AZ120" s="149" t="s">
        <v>1323</v>
      </c>
      <c r="BA120" s="136">
        <v>41057375</v>
      </c>
      <c r="BB120" s="45"/>
      <c r="BC120" s="45"/>
      <c r="BD120" s="45"/>
      <c r="BE120" s="49"/>
      <c r="BF120" s="45"/>
      <c r="BG120" s="49"/>
      <c r="BH120" s="47"/>
      <c r="BI120" s="45"/>
      <c r="BJ120" s="138">
        <f t="shared" ref="BJ120:BJ126" si="13">SUM(AS120+BB120+BD120+BF120-BH120)</f>
        <v>78950587.099999994</v>
      </c>
      <c r="BK120" s="49"/>
      <c r="BL120" s="45"/>
      <c r="BM120" s="45"/>
      <c r="BN120" s="49"/>
      <c r="BO120" s="45"/>
      <c r="BP120" s="47"/>
      <c r="BQ120" s="49"/>
      <c r="BR120" s="45"/>
      <c r="BS120" s="49"/>
      <c r="BT120" s="45">
        <f t="shared" si="12"/>
        <v>272</v>
      </c>
      <c r="BU120" s="45"/>
      <c r="BV120" s="52"/>
    </row>
    <row r="121" spans="1:74" ht="15" customHeight="1" x14ac:dyDescent="0.25">
      <c r="A121" s="135" t="s">
        <v>459</v>
      </c>
      <c r="B121" s="135" t="s">
        <v>460</v>
      </c>
      <c r="C121" s="135" t="s">
        <v>481</v>
      </c>
      <c r="D121" s="45">
        <v>131</v>
      </c>
      <c r="E121" s="45" t="s">
        <v>409</v>
      </c>
      <c r="F121" s="45" t="s">
        <v>1144</v>
      </c>
      <c r="G121" s="50">
        <v>146169</v>
      </c>
      <c r="H121" s="48" t="s">
        <v>771</v>
      </c>
      <c r="I121" s="49">
        <v>44998</v>
      </c>
      <c r="J121" s="45" t="s">
        <v>1124</v>
      </c>
      <c r="K121" s="45" t="s">
        <v>1125</v>
      </c>
      <c r="L121" s="142" t="s">
        <v>768</v>
      </c>
      <c r="M121" s="143" t="s">
        <v>1306</v>
      </c>
      <c r="N121" s="136">
        <v>76111501</v>
      </c>
      <c r="O121" s="144" t="s">
        <v>1142</v>
      </c>
      <c r="P121" s="145">
        <v>24527659</v>
      </c>
      <c r="Q121" s="145">
        <v>24527659</v>
      </c>
      <c r="R121" s="45">
        <v>28623</v>
      </c>
      <c r="S121" s="48" t="s">
        <v>1040</v>
      </c>
      <c r="T121" s="136" t="s">
        <v>64</v>
      </c>
      <c r="U121" s="136" t="s">
        <v>65</v>
      </c>
      <c r="V121" s="45"/>
      <c r="W121" s="137" t="s">
        <v>1307</v>
      </c>
      <c r="X121" s="45" t="s">
        <v>1253</v>
      </c>
      <c r="Y121" s="49">
        <v>45019</v>
      </c>
      <c r="Z121" s="45" t="s">
        <v>1254</v>
      </c>
      <c r="AA121" s="45"/>
      <c r="AB121" s="45" t="s">
        <v>1308</v>
      </c>
      <c r="AC121" s="45"/>
      <c r="AD121" s="146" t="s">
        <v>1286</v>
      </c>
      <c r="AE121" s="48">
        <v>901677370</v>
      </c>
      <c r="AF121" s="45">
        <v>4</v>
      </c>
      <c r="AG121" s="45" t="s">
        <v>517</v>
      </c>
      <c r="AH121" s="45"/>
      <c r="AI121" s="45"/>
      <c r="AJ121" s="45"/>
      <c r="AK121" s="45" t="s">
        <v>517</v>
      </c>
      <c r="AL121" s="49" t="s">
        <v>517</v>
      </c>
      <c r="AM121" s="48">
        <v>66623</v>
      </c>
      <c r="AN121" s="49">
        <v>45021</v>
      </c>
      <c r="AO121" s="147">
        <v>23525852.359999999</v>
      </c>
      <c r="AP121" s="45"/>
      <c r="AQ121" s="51"/>
      <c r="AR121" s="45"/>
      <c r="AS121" s="148">
        <f>SUM(AO121+AP121+AQ121+AR121)</f>
        <v>23525852.359999999</v>
      </c>
      <c r="AT121" s="45" t="s">
        <v>297</v>
      </c>
      <c r="AU121" s="49">
        <v>45030</v>
      </c>
      <c r="AV121" s="136" t="s">
        <v>74</v>
      </c>
      <c r="AW121" s="49">
        <v>45019</v>
      </c>
      <c r="AX121" s="49">
        <v>45291</v>
      </c>
      <c r="AY121" s="135">
        <f t="shared" si="11"/>
        <v>272</v>
      </c>
      <c r="AZ121" s="150" t="s">
        <v>1309</v>
      </c>
      <c r="BA121" s="136">
        <v>17586972</v>
      </c>
      <c r="BB121" s="45"/>
      <c r="BC121" s="45"/>
      <c r="BD121" s="45"/>
      <c r="BE121" s="49"/>
      <c r="BF121" s="45"/>
      <c r="BG121" s="49"/>
      <c r="BH121" s="47"/>
      <c r="BI121" s="45"/>
      <c r="BJ121" s="138">
        <f t="shared" si="13"/>
        <v>23525852.359999999</v>
      </c>
      <c r="BK121" s="49"/>
      <c r="BL121" s="45"/>
      <c r="BM121" s="45"/>
      <c r="BN121" s="49"/>
      <c r="BO121" s="45"/>
      <c r="BP121" s="47"/>
      <c r="BQ121" s="49"/>
      <c r="BR121" s="45"/>
      <c r="BS121" s="49"/>
      <c r="BT121" s="45">
        <f t="shared" si="12"/>
        <v>272</v>
      </c>
      <c r="BU121" s="45"/>
      <c r="BV121" s="52"/>
    </row>
    <row r="122" spans="1:74" ht="15" customHeight="1" x14ac:dyDescent="0.25">
      <c r="A122" s="135" t="s">
        <v>459</v>
      </c>
      <c r="B122" s="135" t="s">
        <v>460</v>
      </c>
      <c r="C122" s="135" t="s">
        <v>481</v>
      </c>
      <c r="D122" s="45">
        <v>133</v>
      </c>
      <c r="E122" s="45" t="s">
        <v>409</v>
      </c>
      <c r="F122" s="45" t="s">
        <v>1141</v>
      </c>
      <c r="G122" s="50">
        <v>146124</v>
      </c>
      <c r="H122" s="48" t="s">
        <v>771</v>
      </c>
      <c r="I122" s="49">
        <v>44998</v>
      </c>
      <c r="J122" s="45" t="s">
        <v>1124</v>
      </c>
      <c r="K122" s="45" t="s">
        <v>1125</v>
      </c>
      <c r="L122" s="142" t="s">
        <v>768</v>
      </c>
      <c r="M122" s="143" t="s">
        <v>1282</v>
      </c>
      <c r="N122" s="136">
        <v>76111501</v>
      </c>
      <c r="O122" s="144" t="s">
        <v>1142</v>
      </c>
      <c r="P122" s="138">
        <v>152449229</v>
      </c>
      <c r="Q122" s="138">
        <v>152449229</v>
      </c>
      <c r="R122" s="45">
        <v>28623</v>
      </c>
      <c r="S122" s="48" t="s">
        <v>1040</v>
      </c>
      <c r="T122" s="136" t="s">
        <v>64</v>
      </c>
      <c r="U122" s="136" t="s">
        <v>65</v>
      </c>
      <c r="V122" s="45"/>
      <c r="W122" s="137" t="s">
        <v>1283</v>
      </c>
      <c r="X122" s="45" t="s">
        <v>1253</v>
      </c>
      <c r="Y122" s="49">
        <v>45019</v>
      </c>
      <c r="Z122" s="45" t="s">
        <v>1254</v>
      </c>
      <c r="AA122" s="45"/>
      <c r="AB122" s="45" t="s">
        <v>1284</v>
      </c>
      <c r="AC122" s="45" t="s">
        <v>1285</v>
      </c>
      <c r="AD122" s="146" t="s">
        <v>1286</v>
      </c>
      <c r="AE122" s="48">
        <v>901677370</v>
      </c>
      <c r="AF122" s="45">
        <v>4</v>
      </c>
      <c r="AG122" s="45" t="s">
        <v>517</v>
      </c>
      <c r="AH122" s="45"/>
      <c r="AI122" s="45"/>
      <c r="AJ122" s="45"/>
      <c r="AK122" s="45" t="s">
        <v>517</v>
      </c>
      <c r="AL122" s="49" t="s">
        <v>517</v>
      </c>
      <c r="AM122" s="48">
        <v>66523</v>
      </c>
      <c r="AN122" s="49">
        <v>45019</v>
      </c>
      <c r="AO122" s="147">
        <v>144975089.46000001</v>
      </c>
      <c r="AP122" s="45"/>
      <c r="AQ122" s="51"/>
      <c r="AR122" s="45"/>
      <c r="AS122" s="148">
        <f>SUM(AO122+AP122+AQ122+AR122)</f>
        <v>144975089.46000001</v>
      </c>
      <c r="AT122" s="45" t="s">
        <v>297</v>
      </c>
      <c r="AU122" s="49">
        <v>45026</v>
      </c>
      <c r="AV122" s="136" t="s">
        <v>74</v>
      </c>
      <c r="AW122" s="49">
        <v>45019</v>
      </c>
      <c r="AX122" s="49">
        <v>45291</v>
      </c>
      <c r="AY122" s="135">
        <f t="shared" si="11"/>
        <v>272</v>
      </c>
      <c r="AZ122" s="149" t="s">
        <v>1287</v>
      </c>
      <c r="BA122" s="136">
        <v>67026330</v>
      </c>
      <c r="BB122" s="45"/>
      <c r="BC122" s="45"/>
      <c r="BD122" s="45"/>
      <c r="BE122" s="49"/>
      <c r="BF122" s="45"/>
      <c r="BG122" s="49"/>
      <c r="BH122" s="47"/>
      <c r="BI122" s="45"/>
      <c r="BJ122" s="138">
        <f t="shared" si="13"/>
        <v>144975089.46000001</v>
      </c>
      <c r="BK122" s="49"/>
      <c r="BL122" s="45"/>
      <c r="BM122" s="45"/>
      <c r="BN122" s="49"/>
      <c r="BO122" s="45"/>
      <c r="BP122" s="47"/>
      <c r="BQ122" s="49"/>
      <c r="BR122" s="45"/>
      <c r="BS122" s="49"/>
      <c r="BT122" s="45">
        <f t="shared" si="12"/>
        <v>272</v>
      </c>
      <c r="BU122" s="45"/>
      <c r="BV122" s="52"/>
    </row>
    <row r="123" spans="1:74" ht="15" customHeight="1" x14ac:dyDescent="0.25">
      <c r="A123" s="135" t="s">
        <v>459</v>
      </c>
      <c r="B123" s="135" t="s">
        <v>460</v>
      </c>
      <c r="C123" s="135" t="s">
        <v>481</v>
      </c>
      <c r="D123" s="45">
        <v>132</v>
      </c>
      <c r="E123" s="45" t="s">
        <v>409</v>
      </c>
      <c r="F123" s="45" t="s">
        <v>1143</v>
      </c>
      <c r="G123" s="50">
        <v>146167</v>
      </c>
      <c r="H123" s="48" t="s">
        <v>771</v>
      </c>
      <c r="I123" s="49">
        <v>44998</v>
      </c>
      <c r="J123" s="45" t="s">
        <v>1124</v>
      </c>
      <c r="K123" s="45" t="s">
        <v>1125</v>
      </c>
      <c r="L123" s="142" t="s">
        <v>768</v>
      </c>
      <c r="M123" s="143" t="s">
        <v>1288</v>
      </c>
      <c r="N123" s="136">
        <v>76111501</v>
      </c>
      <c r="O123" s="144" t="s">
        <v>1142</v>
      </c>
      <c r="P123" s="145">
        <v>90896788</v>
      </c>
      <c r="Q123" s="145">
        <v>90896788</v>
      </c>
      <c r="R123" s="45">
        <v>28623</v>
      </c>
      <c r="S123" s="48" t="s">
        <v>1040</v>
      </c>
      <c r="T123" s="136" t="s">
        <v>64</v>
      </c>
      <c r="U123" s="136" t="s">
        <v>65</v>
      </c>
      <c r="V123" s="45"/>
      <c r="W123" s="137">
        <v>108075</v>
      </c>
      <c r="X123" s="45" t="s">
        <v>1253</v>
      </c>
      <c r="Y123" s="49">
        <v>45036</v>
      </c>
      <c r="Z123" s="45" t="s">
        <v>1254</v>
      </c>
      <c r="AA123" s="45"/>
      <c r="AB123" s="45" t="s">
        <v>1289</v>
      </c>
      <c r="AC123" s="45" t="s">
        <v>1290</v>
      </c>
      <c r="AD123" s="146" t="s">
        <v>1286</v>
      </c>
      <c r="AE123" s="48">
        <v>901677370</v>
      </c>
      <c r="AF123" s="45"/>
      <c r="AG123" s="45" t="s">
        <v>517</v>
      </c>
      <c r="AH123" s="45"/>
      <c r="AI123" s="45"/>
      <c r="AJ123" s="45"/>
      <c r="AK123" s="45" t="s">
        <v>517</v>
      </c>
      <c r="AL123" s="49" t="s">
        <v>517</v>
      </c>
      <c r="AM123" s="48">
        <v>75023</v>
      </c>
      <c r="AN123" s="49">
        <v>45037</v>
      </c>
      <c r="AO123" s="147">
        <v>87025363.060000002</v>
      </c>
      <c r="AP123" s="45"/>
      <c r="AQ123" s="51"/>
      <c r="AR123" s="45"/>
      <c r="AS123" s="148">
        <f>SUM(AO123+AP123+AQ123+AR123)</f>
        <v>87025363.060000002</v>
      </c>
      <c r="AT123" s="45" t="s">
        <v>297</v>
      </c>
      <c r="AU123" s="49" t="s">
        <v>1258</v>
      </c>
      <c r="AV123" s="136" t="s">
        <v>74</v>
      </c>
      <c r="AW123" s="49">
        <v>45036</v>
      </c>
      <c r="AX123" s="49">
        <v>45291</v>
      </c>
      <c r="AY123" s="135">
        <f t="shared" si="11"/>
        <v>255</v>
      </c>
      <c r="AZ123" s="149" t="s">
        <v>1291</v>
      </c>
      <c r="BA123" s="136">
        <v>25166983</v>
      </c>
      <c r="BB123" s="45"/>
      <c r="BC123" s="45"/>
      <c r="BD123" s="45"/>
      <c r="BE123" s="49"/>
      <c r="BF123" s="45"/>
      <c r="BG123" s="49"/>
      <c r="BH123" s="47"/>
      <c r="BI123" s="45"/>
      <c r="BJ123" s="138">
        <f t="shared" si="13"/>
        <v>87025363.060000002</v>
      </c>
      <c r="BK123" s="49"/>
      <c r="BL123" s="45"/>
      <c r="BM123" s="45"/>
      <c r="BN123" s="49"/>
      <c r="BO123" s="45"/>
      <c r="BP123" s="47"/>
      <c r="BQ123" s="49"/>
      <c r="BR123" s="45"/>
      <c r="BS123" s="49"/>
      <c r="BT123" s="45">
        <f t="shared" si="12"/>
        <v>255</v>
      </c>
      <c r="BU123" s="45"/>
      <c r="BV123" s="52"/>
    </row>
    <row r="124" spans="1:74" ht="15" customHeight="1" x14ac:dyDescent="0.25">
      <c r="A124" s="135" t="s">
        <v>459</v>
      </c>
      <c r="B124" s="135" t="s">
        <v>460</v>
      </c>
      <c r="C124" s="135" t="s">
        <v>481</v>
      </c>
      <c r="D124" s="45">
        <v>131</v>
      </c>
      <c r="E124" s="45" t="s">
        <v>409</v>
      </c>
      <c r="F124" s="45" t="s">
        <v>1144</v>
      </c>
      <c r="G124" s="50">
        <v>146169</v>
      </c>
      <c r="H124" s="48" t="s">
        <v>771</v>
      </c>
      <c r="I124" s="49">
        <v>44998</v>
      </c>
      <c r="J124" s="45" t="s">
        <v>1124</v>
      </c>
      <c r="K124" s="45" t="s">
        <v>1125</v>
      </c>
      <c r="L124" s="45" t="s">
        <v>61</v>
      </c>
      <c r="M124" s="48" t="s">
        <v>1145</v>
      </c>
      <c r="N124" s="136">
        <v>76111501</v>
      </c>
      <c r="O124" s="151" t="s">
        <v>1142</v>
      </c>
      <c r="P124" s="145">
        <v>24527659</v>
      </c>
      <c r="Q124" s="145">
        <v>24527659</v>
      </c>
      <c r="R124" s="45">
        <v>28623</v>
      </c>
      <c r="S124" s="48" t="s">
        <v>1040</v>
      </c>
      <c r="T124" s="48" t="s">
        <v>448</v>
      </c>
      <c r="U124" s="45"/>
      <c r="V124" s="45"/>
      <c r="W124" s="49"/>
      <c r="X124" s="45"/>
      <c r="Y124" s="45"/>
      <c r="Z124" s="45"/>
      <c r="AA124" s="45"/>
      <c r="AB124" s="45"/>
      <c r="AC124" s="45"/>
      <c r="AD124" s="45"/>
      <c r="AE124" s="45"/>
      <c r="AF124" s="45"/>
      <c r="AG124" s="45"/>
      <c r="AH124" s="45"/>
      <c r="AI124" s="45"/>
      <c r="AJ124" s="45"/>
      <c r="AK124" s="45"/>
      <c r="AL124" s="49"/>
      <c r="AM124" s="47"/>
      <c r="AN124" s="45"/>
      <c r="AO124" s="45"/>
      <c r="AP124" s="45"/>
      <c r="AQ124" s="51"/>
      <c r="AR124" s="45"/>
      <c r="AS124" s="49"/>
      <c r="AT124" s="45"/>
      <c r="AU124" s="49"/>
      <c r="AV124" s="49"/>
      <c r="AW124" s="45"/>
      <c r="AX124" s="45"/>
      <c r="AY124" s="44"/>
      <c r="AZ124" s="47"/>
      <c r="BA124" s="49"/>
      <c r="BB124" s="45"/>
      <c r="BC124" s="45"/>
      <c r="BD124" s="45"/>
      <c r="BE124" s="49"/>
      <c r="BF124" s="45"/>
      <c r="BG124" s="49"/>
      <c r="BH124" s="47"/>
      <c r="BI124" s="45"/>
      <c r="BJ124" s="138">
        <f t="shared" si="13"/>
        <v>0</v>
      </c>
      <c r="BK124" s="49"/>
      <c r="BL124" s="45"/>
      <c r="BM124" s="45"/>
      <c r="BN124" s="49"/>
      <c r="BO124" s="45"/>
      <c r="BP124" s="47"/>
      <c r="BQ124" s="49"/>
      <c r="BR124" s="45"/>
      <c r="BS124" s="49"/>
      <c r="BT124" s="45"/>
      <c r="BU124" s="45"/>
      <c r="BV124" s="52"/>
    </row>
    <row r="125" spans="1:74" ht="15" customHeight="1" x14ac:dyDescent="0.25">
      <c r="A125" s="135" t="s">
        <v>459</v>
      </c>
      <c r="B125" s="135" t="s">
        <v>460</v>
      </c>
      <c r="C125" s="135" t="s">
        <v>481</v>
      </c>
      <c r="D125" s="45">
        <v>141</v>
      </c>
      <c r="E125" s="45" t="s">
        <v>409</v>
      </c>
      <c r="F125" s="45" t="s">
        <v>1146</v>
      </c>
      <c r="G125" s="50">
        <v>146165</v>
      </c>
      <c r="H125" s="48" t="s">
        <v>771</v>
      </c>
      <c r="I125" s="49">
        <v>44998</v>
      </c>
      <c r="J125" s="45" t="s">
        <v>1124</v>
      </c>
      <c r="K125" s="45" t="s">
        <v>1125</v>
      </c>
      <c r="L125" s="142" t="s">
        <v>768</v>
      </c>
      <c r="M125" s="143" t="s">
        <v>1327</v>
      </c>
      <c r="N125" s="136">
        <v>76111501</v>
      </c>
      <c r="O125" s="144" t="s">
        <v>1142</v>
      </c>
      <c r="P125" s="145">
        <v>67610538</v>
      </c>
      <c r="Q125" s="145">
        <v>67610538</v>
      </c>
      <c r="R125" s="45">
        <v>28623</v>
      </c>
      <c r="S125" s="48" t="s">
        <v>1040</v>
      </c>
      <c r="T125" s="136" t="s">
        <v>64</v>
      </c>
      <c r="U125" s="136" t="s">
        <v>65</v>
      </c>
      <c r="V125" s="45"/>
      <c r="W125" s="137">
        <v>107283</v>
      </c>
      <c r="X125" s="45" t="s">
        <v>1253</v>
      </c>
      <c r="Y125" s="49">
        <v>45019</v>
      </c>
      <c r="Z125" s="45" t="s">
        <v>1254</v>
      </c>
      <c r="AA125" s="45"/>
      <c r="AB125" s="45" t="s">
        <v>1328</v>
      </c>
      <c r="AC125" s="45"/>
      <c r="AD125" s="146" t="s">
        <v>1322</v>
      </c>
      <c r="AE125" s="45">
        <v>800093388</v>
      </c>
      <c r="AF125" s="45">
        <v>2</v>
      </c>
      <c r="AG125" s="45" t="s">
        <v>517</v>
      </c>
      <c r="AH125" s="45"/>
      <c r="AI125" s="45"/>
      <c r="AJ125" s="45"/>
      <c r="AK125" s="45" t="s">
        <v>517</v>
      </c>
      <c r="AL125" s="49" t="s">
        <v>517</v>
      </c>
      <c r="AM125" s="48">
        <v>66423</v>
      </c>
      <c r="AN125" s="49">
        <v>45021</v>
      </c>
      <c r="AO125" s="147">
        <v>67610537.629999995</v>
      </c>
      <c r="AP125" s="45"/>
      <c r="AQ125" s="51"/>
      <c r="AR125" s="45"/>
      <c r="AS125" s="148">
        <f>SUM(AO125+AP125+AQ125+AR125)</f>
        <v>67610537.629999995</v>
      </c>
      <c r="AT125" s="45" t="s">
        <v>297</v>
      </c>
      <c r="AU125" s="49">
        <v>45020</v>
      </c>
      <c r="AV125" s="136" t="s">
        <v>74</v>
      </c>
      <c r="AW125" s="49">
        <v>45019</v>
      </c>
      <c r="AX125" s="49">
        <v>45291</v>
      </c>
      <c r="AY125" s="135">
        <f>(AX125-AW125)</f>
        <v>272</v>
      </c>
      <c r="AZ125" s="149" t="s">
        <v>1329</v>
      </c>
      <c r="BA125" s="136">
        <v>80037461</v>
      </c>
      <c r="BB125" s="45"/>
      <c r="BC125" s="45"/>
      <c r="BD125" s="45"/>
      <c r="BE125" s="49"/>
      <c r="BF125" s="45"/>
      <c r="BG125" s="49"/>
      <c r="BH125" s="47"/>
      <c r="BI125" s="45"/>
      <c r="BJ125" s="138">
        <f t="shared" si="13"/>
        <v>67610537.629999995</v>
      </c>
      <c r="BK125" s="49"/>
      <c r="BL125" s="45"/>
      <c r="BM125" s="45"/>
      <c r="BN125" s="49"/>
      <c r="BO125" s="45"/>
      <c r="BP125" s="47"/>
      <c r="BQ125" s="49"/>
      <c r="BR125" s="45"/>
      <c r="BS125" s="49"/>
      <c r="BT125" s="45">
        <f>SUM(AY125+BK125+BN125+BQ125)</f>
        <v>272</v>
      </c>
      <c r="BU125" s="45"/>
      <c r="BV125" s="52"/>
    </row>
    <row r="126" spans="1:74" ht="15" customHeight="1" x14ac:dyDescent="0.25">
      <c r="A126" s="134" t="s">
        <v>459</v>
      </c>
      <c r="B126" s="135" t="s">
        <v>460</v>
      </c>
      <c r="C126" s="135" t="s">
        <v>481</v>
      </c>
      <c r="D126" s="45">
        <v>139</v>
      </c>
      <c r="E126" s="45" t="s">
        <v>409</v>
      </c>
      <c r="F126" s="45" t="s">
        <v>1147</v>
      </c>
      <c r="G126" s="50">
        <v>146163</v>
      </c>
      <c r="H126" s="48" t="s">
        <v>1159</v>
      </c>
      <c r="I126" s="49">
        <v>45019</v>
      </c>
      <c r="J126" s="45" t="s">
        <v>1124</v>
      </c>
      <c r="K126" s="45" t="s">
        <v>1125</v>
      </c>
      <c r="L126" s="142" t="s">
        <v>768</v>
      </c>
      <c r="M126" s="152" t="s">
        <v>1319</v>
      </c>
      <c r="N126" s="136">
        <v>76111501</v>
      </c>
      <c r="O126" s="144" t="s">
        <v>1142</v>
      </c>
      <c r="P126" s="145">
        <v>78950587</v>
      </c>
      <c r="Q126" s="145">
        <v>78950587</v>
      </c>
      <c r="R126" s="45">
        <v>28623</v>
      </c>
      <c r="S126" s="48" t="s">
        <v>1040</v>
      </c>
      <c r="T126" s="136" t="s">
        <v>64</v>
      </c>
      <c r="U126" s="136" t="s">
        <v>65</v>
      </c>
      <c r="V126" s="45"/>
      <c r="W126" s="137" t="s">
        <v>1320</v>
      </c>
      <c r="X126" s="45" t="s">
        <v>1253</v>
      </c>
      <c r="Y126" s="49">
        <v>45019</v>
      </c>
      <c r="Z126" s="45" t="s">
        <v>1254</v>
      </c>
      <c r="AA126" s="45"/>
      <c r="AB126" s="45" t="s">
        <v>1321</v>
      </c>
      <c r="AC126" s="45"/>
      <c r="AD126" s="146" t="s">
        <v>1322</v>
      </c>
      <c r="AE126" s="45">
        <v>800093388</v>
      </c>
      <c r="AF126" s="45">
        <v>2</v>
      </c>
      <c r="AG126" s="45" t="s">
        <v>517</v>
      </c>
      <c r="AH126" s="45"/>
      <c r="AI126" s="45"/>
      <c r="AJ126" s="45"/>
      <c r="AK126" s="45" t="s">
        <v>517</v>
      </c>
      <c r="AL126" s="49" t="s">
        <v>517</v>
      </c>
      <c r="AM126" s="48">
        <v>66323</v>
      </c>
      <c r="AN126" s="49">
        <v>45021</v>
      </c>
      <c r="AO126" s="147">
        <v>78950587.099999994</v>
      </c>
      <c r="AP126" s="45"/>
      <c r="AQ126" s="51"/>
      <c r="AR126" s="45"/>
      <c r="AS126" s="148">
        <f>SUM(AO126+AP126+AQ126+AR126)</f>
        <v>78950587.099999994</v>
      </c>
      <c r="AT126" s="45" t="s">
        <v>297</v>
      </c>
      <c r="AU126" s="49">
        <v>45021</v>
      </c>
      <c r="AV126" s="153" t="s">
        <v>74</v>
      </c>
      <c r="AW126" s="49">
        <v>45019</v>
      </c>
      <c r="AX126" s="49">
        <v>45291</v>
      </c>
      <c r="AY126" s="136">
        <f>(AX126-AW126)</f>
        <v>272</v>
      </c>
      <c r="AZ126" s="154" t="s">
        <v>1323</v>
      </c>
      <c r="BA126" s="136">
        <v>41057375</v>
      </c>
      <c r="BB126" s="45"/>
      <c r="BC126" s="45"/>
      <c r="BD126" s="45"/>
      <c r="BE126" s="49"/>
      <c r="BF126" s="45"/>
      <c r="BG126" s="49"/>
      <c r="BH126" s="47"/>
      <c r="BI126" s="45"/>
      <c r="BJ126" s="138">
        <f t="shared" si="13"/>
        <v>78950587.099999994</v>
      </c>
      <c r="BK126" s="49"/>
      <c r="BL126" s="45"/>
      <c r="BM126" s="45"/>
      <c r="BN126" s="49"/>
      <c r="BO126" s="45"/>
      <c r="BP126" s="47"/>
      <c r="BQ126" s="49"/>
      <c r="BR126" s="45"/>
      <c r="BS126" s="49"/>
      <c r="BT126" s="45">
        <f>SUM(AY126+BK126+BN126+BQ126)</f>
        <v>272</v>
      </c>
      <c r="BU126" s="45"/>
      <c r="BV126" s="52"/>
    </row>
    <row r="127" spans="1:74" s="3" customFormat="1" ht="15" customHeight="1" x14ac:dyDescent="0.25">
      <c r="A127" s="14" t="s">
        <v>459</v>
      </c>
      <c r="B127" s="4" t="s">
        <v>460</v>
      </c>
      <c r="C127" s="7" t="s">
        <v>54</v>
      </c>
      <c r="D127" s="3">
        <v>282</v>
      </c>
      <c r="E127" s="3" t="s">
        <v>55</v>
      </c>
      <c r="F127" s="13" t="s">
        <v>811</v>
      </c>
      <c r="G127" s="1" t="s">
        <v>806</v>
      </c>
      <c r="H127" s="3" t="s">
        <v>771</v>
      </c>
      <c r="I127" s="24">
        <v>44999</v>
      </c>
      <c r="J127" s="3" t="s">
        <v>59</v>
      </c>
      <c r="K127" s="3" t="s">
        <v>60</v>
      </c>
      <c r="L127" s="1" t="s">
        <v>250</v>
      </c>
      <c r="M127" s="13" t="s">
        <v>807</v>
      </c>
      <c r="N127" s="1">
        <v>80161504</v>
      </c>
      <c r="O127" s="1" t="s">
        <v>808</v>
      </c>
      <c r="P127" s="2">
        <v>42750000</v>
      </c>
      <c r="Q127" s="237">
        <v>42750000</v>
      </c>
      <c r="R127" s="1">
        <v>28123</v>
      </c>
      <c r="S127" s="1" t="s">
        <v>89</v>
      </c>
      <c r="T127" s="3" t="s">
        <v>64</v>
      </c>
      <c r="U127" s="1" t="s">
        <v>65</v>
      </c>
      <c r="V127" s="27"/>
      <c r="W127" s="1" t="s">
        <v>809</v>
      </c>
      <c r="X127" s="1" t="s">
        <v>771</v>
      </c>
      <c r="Y127" s="239">
        <v>45001</v>
      </c>
      <c r="Z127" s="1" t="s">
        <v>67</v>
      </c>
      <c r="AA127" s="27"/>
      <c r="AB127" s="1" t="s">
        <v>68</v>
      </c>
      <c r="AC127" s="1" t="s">
        <v>69</v>
      </c>
      <c r="AD127" s="1" t="s">
        <v>810</v>
      </c>
      <c r="AE127" s="1">
        <v>1023910419</v>
      </c>
      <c r="AF127" s="27"/>
      <c r="AG127" s="27" t="s">
        <v>602</v>
      </c>
      <c r="AH127" s="27"/>
      <c r="AI127" s="26"/>
      <c r="AJ127" s="26"/>
      <c r="AK127" s="27"/>
      <c r="AL127" s="28" t="e">
        <f ca="1">+YEAR(TODAY())-YEAR([8]!Tabla1[[#This Row],[FECHA DE NACIMIENTO]])</f>
        <v>#REF!</v>
      </c>
      <c r="AM127" s="1">
        <v>57123</v>
      </c>
      <c r="AN127" s="18">
        <v>45002</v>
      </c>
      <c r="AO127" s="29">
        <v>42750000</v>
      </c>
      <c r="AP127" s="27"/>
      <c r="AQ127" s="27"/>
      <c r="AR127" s="27"/>
      <c r="AS127" s="238">
        <v>42750000</v>
      </c>
      <c r="AT127" s="1" t="s">
        <v>75</v>
      </c>
      <c r="AU127" s="18">
        <v>45001</v>
      </c>
      <c r="AV127" s="1" t="s">
        <v>74</v>
      </c>
      <c r="AW127" s="18">
        <v>45002</v>
      </c>
      <c r="AX127" s="18">
        <v>45291</v>
      </c>
      <c r="AY127" s="7">
        <f t="shared" ref="AY127" si="14">(AX127-AW127)</f>
        <v>289</v>
      </c>
      <c r="AZ127" s="1" t="s">
        <v>437</v>
      </c>
      <c r="BA127" s="1">
        <v>393757630</v>
      </c>
      <c r="BB127" s="29"/>
      <c r="BC127" s="30"/>
      <c r="BD127" s="27"/>
      <c r="BE127" s="27"/>
      <c r="BF127" s="27"/>
      <c r="BG127" s="30"/>
      <c r="BH127" s="27"/>
      <c r="BI127" s="30"/>
      <c r="BJ127" s="29"/>
      <c r="BK127" s="27"/>
      <c r="BL127" s="30"/>
      <c r="BM127" s="30"/>
      <c r="BN127" s="27"/>
      <c r="BO127" s="27"/>
      <c r="BP127" s="30"/>
      <c r="BQ127" s="27"/>
      <c r="BR127" s="29"/>
      <c r="BS127" s="30"/>
      <c r="BT127" s="1"/>
      <c r="BU127" s="30"/>
      <c r="BV127" s="31"/>
    </row>
    <row r="128" spans="1:74" ht="15" customHeight="1" x14ac:dyDescent="0.25">
      <c r="A128" s="42" t="s">
        <v>459</v>
      </c>
      <c r="B128" s="43" t="s">
        <v>460</v>
      </c>
      <c r="C128" s="44" t="s">
        <v>54</v>
      </c>
      <c r="D128" s="45">
        <v>273</v>
      </c>
      <c r="E128" s="45" t="s">
        <v>55</v>
      </c>
      <c r="F128" s="45" t="s">
        <v>813</v>
      </c>
      <c r="G128" s="48" t="s">
        <v>812</v>
      </c>
      <c r="H128" s="45" t="s">
        <v>771</v>
      </c>
      <c r="I128" s="77">
        <v>44999</v>
      </c>
      <c r="J128" s="45" t="s">
        <v>59</v>
      </c>
      <c r="K128" s="45" t="s">
        <v>330</v>
      </c>
      <c r="L128" s="48" t="s">
        <v>340</v>
      </c>
      <c r="M128" s="73" t="e">
        <f>+UPPER(#REF!)</f>
        <v>#REF!</v>
      </c>
      <c r="N128" s="48" t="e">
        <f>+UPPER(Tabla13[[#This Row],[OBJETO]])</f>
        <v>#REF!</v>
      </c>
      <c r="O128" s="48" t="e">
        <f>+UPPER(Tabla13[[#This Row],[CODIGO UNSCSP]])</f>
        <v>#REF!</v>
      </c>
      <c r="P128" s="56" t="e">
        <f>+UPPER(Tabla13[[#This Row],[NOMBRE DE CODIGO]])</f>
        <v>#REF!</v>
      </c>
      <c r="Q128" s="56" t="e">
        <f>+UPPER(Tabla13[[#This Row],[VALOR PROCESO EN EL PAABS SECOP II]])</f>
        <v>#REF!</v>
      </c>
      <c r="R128" s="48" t="e">
        <f>+UPPER(Tabla13[[#This Row],[VALOR PROCESO  ESTUDIOS PREVIOS ]])</f>
        <v>#REF!</v>
      </c>
      <c r="S128" s="48" t="e">
        <f>+UPPER(Tabla13[[#This Row],[CDP]])</f>
        <v>#REF!</v>
      </c>
      <c r="T128" s="45" t="e">
        <f>+UPPER(Tabla13[[#This Row],[RUBRO]])</f>
        <v>#REF!</v>
      </c>
      <c r="U128" s="48" t="e">
        <f>+UPPER(Tabla13[[#This Row],[ETAPA]])</f>
        <v>#REF!</v>
      </c>
      <c r="V128" s="48" t="e">
        <f>+UPPER(Tabla13[[#This Row],[ESTADO]])</f>
        <v>#REF!</v>
      </c>
      <c r="W128" s="48" t="e">
        <f>+UPPER(Tabla13[[#This Row],[RESOLUCION DECLARACTORIA DESIERTO]])</f>
        <v>#REF!</v>
      </c>
      <c r="X128" s="48" t="e">
        <f>+UPPER(Tabla13[[#This Row],[N° DE CONTRATO CELEBRADO]])</f>
        <v>#REF!</v>
      </c>
      <c r="Y128" s="46" t="e">
        <f>+UPPER(Tabla13[[#This Row],[MES2]])</f>
        <v>#REF!</v>
      </c>
      <c r="Z128" s="48" t="e">
        <f>+UPPER(Tabla13[[#This Row],[FECHA DE FIRMA CONTRATO]])</f>
        <v>#REF!</v>
      </c>
      <c r="AA128" s="48" t="e">
        <f>+UPPER(Tabla13[[#This Row],[TIPO DE CONTRATO]])</f>
        <v>#REF!</v>
      </c>
      <c r="AB128" s="48" t="e">
        <f>+UPPER(Tabla13[[#This Row],[OTRO TIPO DE CONTRATO]])</f>
        <v>#REF!</v>
      </c>
      <c r="AC128" s="48" t="e">
        <f>+UPPER(Tabla13[[#This Row],[REGIONAL]])</f>
        <v>#REF!</v>
      </c>
      <c r="AD128" s="48" t="e">
        <f>+UPPER(Tabla13[[#This Row],[
LUGAR DE EJECUCION
]])</f>
        <v>#REF!</v>
      </c>
      <c r="AE128" s="48" t="e">
        <f>+UPPER(Tabla13[[#This Row],[CONTRATISTA]])</f>
        <v>#REF!</v>
      </c>
      <c r="AF128" s="48" t="e">
        <f>+UPPER(Tabla13[[#This Row],[IDENTIFICACION]])</f>
        <v>#REF!</v>
      </c>
      <c r="AG128" s="48" t="e">
        <f>+UPPER(Tabla13[[#This Row],[DV]])</f>
        <v>#REF!</v>
      </c>
      <c r="AH128" s="48" t="e">
        <f>+UPPER(Tabla13[[#This Row],[PROFESIÓN]])</f>
        <v>#REF!</v>
      </c>
      <c r="AI128" s="45" t="e">
        <f>+UPPER(Tabla13[[#This Row],[MYPIME]])</f>
        <v>#REF!</v>
      </c>
      <c r="AJ128" s="45"/>
      <c r="AK128" s="48"/>
      <c r="AL128" s="58">
        <f ca="1">+YEAR(TODAY())-YEAR(Tabla13[[#This Row],[FECHA DE NACIMIENTO]])</f>
        <v>123</v>
      </c>
      <c r="AM128" s="48"/>
      <c r="AN128" s="61"/>
      <c r="AO128" s="56"/>
      <c r="AP128" s="48"/>
      <c r="AQ128" s="48"/>
      <c r="AR128" s="48"/>
      <c r="AS128" s="133"/>
      <c r="AT128" s="48"/>
      <c r="AU128" s="61"/>
      <c r="AV128" s="60"/>
      <c r="AW128" s="61"/>
      <c r="AX128" s="61"/>
      <c r="AY128" s="45"/>
      <c r="AZ128" s="76"/>
      <c r="BA128" s="48"/>
      <c r="BB128" s="56"/>
      <c r="BC128" s="61"/>
      <c r="BD128" s="48"/>
      <c r="BE128" s="48"/>
      <c r="BF128" s="48"/>
      <c r="BG128" s="61"/>
      <c r="BH128" s="48"/>
      <c r="BI128" s="61"/>
      <c r="BJ128" s="56"/>
      <c r="BK128" s="48"/>
      <c r="BL128" s="61"/>
      <c r="BM128" s="61"/>
      <c r="BN128" s="48"/>
      <c r="BO128" s="48"/>
      <c r="BP128" s="61"/>
      <c r="BQ128" s="48"/>
      <c r="BR128" s="56"/>
      <c r="BS128" s="61"/>
      <c r="BT128" s="48"/>
      <c r="BU128" s="61"/>
      <c r="BV128" s="60"/>
    </row>
    <row r="129" spans="1:74" ht="15" customHeight="1" x14ac:dyDescent="0.25">
      <c r="A129" s="134" t="s">
        <v>459</v>
      </c>
      <c r="B129" s="135" t="s">
        <v>460</v>
      </c>
      <c r="C129" s="135" t="s">
        <v>481</v>
      </c>
      <c r="D129" s="45">
        <v>138</v>
      </c>
      <c r="E129" s="45" t="s">
        <v>409</v>
      </c>
      <c r="F129" s="45" t="s">
        <v>1151</v>
      </c>
      <c r="G129" s="50">
        <v>146268</v>
      </c>
      <c r="H129" s="48" t="s">
        <v>1159</v>
      </c>
      <c r="I129" s="49">
        <v>45026</v>
      </c>
      <c r="J129" s="45" t="s">
        <v>1124</v>
      </c>
      <c r="K129" s="45" t="s">
        <v>1125</v>
      </c>
      <c r="L129" s="142" t="s">
        <v>768</v>
      </c>
      <c r="M129" s="152" t="s">
        <v>1314</v>
      </c>
      <c r="N129" s="136">
        <v>76111501</v>
      </c>
      <c r="O129" s="144" t="s">
        <v>1142</v>
      </c>
      <c r="P129" s="145">
        <v>95973449</v>
      </c>
      <c r="Q129" s="145">
        <v>95973449</v>
      </c>
      <c r="R129" s="45">
        <v>28623</v>
      </c>
      <c r="S129" s="48" t="s">
        <v>1040</v>
      </c>
      <c r="T129" s="136" t="s">
        <v>64</v>
      </c>
      <c r="U129" s="136" t="s">
        <v>65</v>
      </c>
      <c r="V129" s="45"/>
      <c r="W129" s="137" t="s">
        <v>1315</v>
      </c>
      <c r="X129" s="45" t="s">
        <v>1253</v>
      </c>
      <c r="Y129" s="49">
        <v>45028</v>
      </c>
      <c r="Z129" s="45" t="s">
        <v>1254</v>
      </c>
      <c r="AA129" s="45"/>
      <c r="AB129" s="45" t="s">
        <v>1316</v>
      </c>
      <c r="AC129" s="45"/>
      <c r="AD129" s="146" t="s">
        <v>1317</v>
      </c>
      <c r="AE129" s="45">
        <v>900427788</v>
      </c>
      <c r="AF129" s="45">
        <v>3</v>
      </c>
      <c r="AG129" s="45" t="s">
        <v>517</v>
      </c>
      <c r="AH129" s="45"/>
      <c r="AI129" s="45"/>
      <c r="AJ129" s="45"/>
      <c r="AK129" s="45" t="s">
        <v>517</v>
      </c>
      <c r="AL129" s="49" t="s">
        <v>517</v>
      </c>
      <c r="AM129" s="48">
        <v>70323</v>
      </c>
      <c r="AN129" s="49">
        <v>45029</v>
      </c>
      <c r="AO129" s="147">
        <v>95973448.730000004</v>
      </c>
      <c r="AP129" s="45"/>
      <c r="AQ129" s="51"/>
      <c r="AR129" s="45"/>
      <c r="AS129" s="148">
        <f>SUM(AO129+AP129+AQ129+AR129)</f>
        <v>95973448.730000004</v>
      </c>
      <c r="AT129" s="45" t="s">
        <v>297</v>
      </c>
      <c r="AU129" s="49">
        <v>45037</v>
      </c>
      <c r="AV129" s="153" t="s">
        <v>74</v>
      </c>
      <c r="AW129" s="49">
        <v>45028</v>
      </c>
      <c r="AX129" s="49">
        <v>45291</v>
      </c>
      <c r="AY129" s="136">
        <f>(AX129-AW129)</f>
        <v>263</v>
      </c>
      <c r="AZ129" s="154" t="s">
        <v>1318</v>
      </c>
      <c r="BA129" s="136">
        <v>1123626271</v>
      </c>
      <c r="BB129" s="45"/>
      <c r="BC129" s="45"/>
      <c r="BD129" s="45"/>
      <c r="BE129" s="49"/>
      <c r="BF129" s="45"/>
      <c r="BG129" s="49"/>
      <c r="BH129" s="47"/>
      <c r="BI129" s="45"/>
      <c r="BJ129" s="138">
        <f>SUM(AS129+BB129+BD129+BF129-BH129)</f>
        <v>95973448.730000004</v>
      </c>
      <c r="BK129" s="49"/>
      <c r="BL129" s="45"/>
      <c r="BM129" s="45"/>
      <c r="BN129" s="49"/>
      <c r="BO129" s="45"/>
      <c r="BP129" s="47"/>
      <c r="BQ129" s="49"/>
      <c r="BR129" s="45"/>
      <c r="BS129" s="49"/>
      <c r="BT129" s="45">
        <f>SUM(AY129+BK129+BN129+BQ129)</f>
        <v>263</v>
      </c>
      <c r="BU129" s="45"/>
      <c r="BV129" s="52"/>
    </row>
    <row r="130" spans="1:74" ht="15" customHeight="1" x14ac:dyDescent="0.25">
      <c r="A130" s="134" t="s">
        <v>459</v>
      </c>
      <c r="B130" s="135" t="s">
        <v>460</v>
      </c>
      <c r="C130" s="135" t="s">
        <v>481</v>
      </c>
      <c r="D130" s="45">
        <v>138</v>
      </c>
      <c r="E130" s="45" t="s">
        <v>409</v>
      </c>
      <c r="F130" s="45" t="s">
        <v>1151</v>
      </c>
      <c r="G130" s="50">
        <v>146268</v>
      </c>
      <c r="H130" s="48" t="s">
        <v>771</v>
      </c>
      <c r="I130" s="49">
        <v>44999</v>
      </c>
      <c r="J130" s="45" t="s">
        <v>1124</v>
      </c>
      <c r="K130" s="45" t="s">
        <v>1125</v>
      </c>
      <c r="L130" s="45" t="s">
        <v>61</v>
      </c>
      <c r="M130" s="76" t="s">
        <v>1152</v>
      </c>
      <c r="N130" s="136">
        <v>76111501</v>
      </c>
      <c r="O130" s="151" t="s">
        <v>1142</v>
      </c>
      <c r="P130" s="145">
        <v>95973449</v>
      </c>
      <c r="Q130" s="145">
        <v>95973449</v>
      </c>
      <c r="R130" s="45">
        <v>28623</v>
      </c>
      <c r="S130" s="48" t="s">
        <v>1040</v>
      </c>
      <c r="T130" s="48" t="s">
        <v>448</v>
      </c>
      <c r="U130" s="45"/>
      <c r="V130" s="45"/>
      <c r="W130" s="49"/>
      <c r="X130" s="45"/>
      <c r="Y130" s="45"/>
      <c r="Z130" s="45"/>
      <c r="AA130" s="45"/>
      <c r="AB130" s="45"/>
      <c r="AC130" s="45"/>
      <c r="AD130" s="45"/>
      <c r="AE130" s="45"/>
      <c r="AF130" s="45"/>
      <c r="AG130" s="45"/>
      <c r="AH130" s="45"/>
      <c r="AI130" s="45"/>
      <c r="AJ130" s="45"/>
      <c r="AK130" s="45"/>
      <c r="AL130" s="49"/>
      <c r="AM130" s="47"/>
      <c r="AN130" s="45"/>
      <c r="AO130" s="45"/>
      <c r="AP130" s="45"/>
      <c r="AQ130" s="51"/>
      <c r="AR130" s="45"/>
      <c r="AS130" s="49"/>
      <c r="AT130" s="45"/>
      <c r="AU130" s="49"/>
      <c r="AV130" s="155"/>
      <c r="AW130" s="45"/>
      <c r="AX130" s="45"/>
      <c r="AY130" s="45"/>
      <c r="AZ130" s="156"/>
      <c r="BA130" s="49"/>
      <c r="BB130" s="45"/>
      <c r="BC130" s="45"/>
      <c r="BD130" s="45"/>
      <c r="BE130" s="49"/>
      <c r="BF130" s="45"/>
      <c r="BG130" s="49"/>
      <c r="BH130" s="47"/>
      <c r="BI130" s="45"/>
      <c r="BJ130" s="138">
        <f>SUM(AS130+BB130+BD130+BF130-BH130)</f>
        <v>0</v>
      </c>
      <c r="BK130" s="49"/>
      <c r="BL130" s="45"/>
      <c r="BM130" s="45"/>
      <c r="BN130" s="49"/>
      <c r="BO130" s="45"/>
      <c r="BP130" s="47"/>
      <c r="BQ130" s="49"/>
      <c r="BR130" s="45"/>
      <c r="BS130" s="49"/>
      <c r="BT130" s="45"/>
      <c r="BU130" s="45"/>
      <c r="BV130" s="52"/>
    </row>
    <row r="131" spans="1:74" ht="15" customHeight="1" x14ac:dyDescent="0.25">
      <c r="A131" s="134" t="s">
        <v>459</v>
      </c>
      <c r="B131" s="135" t="s">
        <v>460</v>
      </c>
      <c r="C131" s="135" t="s">
        <v>481</v>
      </c>
      <c r="D131" s="73">
        <v>136</v>
      </c>
      <c r="E131" s="45" t="s">
        <v>409</v>
      </c>
      <c r="F131" s="73" t="s">
        <v>1148</v>
      </c>
      <c r="G131" s="157">
        <v>146540</v>
      </c>
      <c r="H131" s="48" t="s">
        <v>771</v>
      </c>
      <c r="I131" s="49">
        <v>45000</v>
      </c>
      <c r="J131" s="45" t="s">
        <v>1124</v>
      </c>
      <c r="K131" s="45" t="s">
        <v>1125</v>
      </c>
      <c r="L131" s="142" t="s">
        <v>768</v>
      </c>
      <c r="M131" s="152" t="s">
        <v>1276</v>
      </c>
      <c r="N131" s="136">
        <v>76111501</v>
      </c>
      <c r="O131" s="144" t="s">
        <v>1142</v>
      </c>
      <c r="P131" s="158">
        <v>175550532</v>
      </c>
      <c r="Q131" s="158">
        <v>175550532</v>
      </c>
      <c r="R131" s="73">
        <v>28623</v>
      </c>
      <c r="S131" s="76" t="s">
        <v>1040</v>
      </c>
      <c r="T131" s="136" t="s">
        <v>64</v>
      </c>
      <c r="U131" s="136" t="s">
        <v>65</v>
      </c>
      <c r="V131" s="73"/>
      <c r="W131" s="159">
        <v>108010</v>
      </c>
      <c r="X131" s="73" t="s">
        <v>1253</v>
      </c>
      <c r="Y131" s="49">
        <v>45035</v>
      </c>
      <c r="Z131" s="45" t="s">
        <v>1254</v>
      </c>
      <c r="AA131" s="73"/>
      <c r="AB131" s="45" t="s">
        <v>1277</v>
      </c>
      <c r="AC131" s="45" t="s">
        <v>1278</v>
      </c>
      <c r="AD131" s="160" t="s">
        <v>1279</v>
      </c>
      <c r="AE131" s="73">
        <v>901677020</v>
      </c>
      <c r="AF131" s="73">
        <v>1</v>
      </c>
      <c r="AG131" s="45" t="s">
        <v>517</v>
      </c>
      <c r="AH131" s="45"/>
      <c r="AI131" s="73"/>
      <c r="AJ131" s="73"/>
      <c r="AK131" s="73" t="s">
        <v>517</v>
      </c>
      <c r="AL131" s="161" t="s">
        <v>517</v>
      </c>
      <c r="AM131" s="76">
        <v>73323</v>
      </c>
      <c r="AN131" s="49">
        <v>45035</v>
      </c>
      <c r="AO131" s="162">
        <v>169259167.88999999</v>
      </c>
      <c r="AP131" s="73"/>
      <c r="AQ131" s="163"/>
      <c r="AR131" s="73"/>
      <c r="AS131" s="164">
        <f>SUM(AO131+AP131+AQ131+AR131)</f>
        <v>169259167.88999999</v>
      </c>
      <c r="AT131" s="45" t="s">
        <v>297</v>
      </c>
      <c r="AU131" s="49" t="s">
        <v>1280</v>
      </c>
      <c r="AV131" s="153" t="s">
        <v>74</v>
      </c>
      <c r="AW131" s="49">
        <v>45035</v>
      </c>
      <c r="AX131" s="49">
        <v>45291</v>
      </c>
      <c r="AY131" s="165">
        <f>(AX131-AW131)</f>
        <v>256</v>
      </c>
      <c r="AZ131" s="154" t="s">
        <v>1281</v>
      </c>
      <c r="BA131" s="136">
        <v>1124064259</v>
      </c>
      <c r="BB131" s="73"/>
      <c r="BC131" s="73"/>
      <c r="BD131" s="73"/>
      <c r="BE131" s="161"/>
      <c r="BF131" s="73"/>
      <c r="BG131" s="161"/>
      <c r="BH131" s="156"/>
      <c r="BI131" s="73"/>
      <c r="BJ131" s="166">
        <f>SUM(AS131+BB131+BD131+BF131-BH131)</f>
        <v>169259167.88999999</v>
      </c>
      <c r="BK131" s="161"/>
      <c r="BL131" s="73"/>
      <c r="BM131" s="73"/>
      <c r="BN131" s="161"/>
      <c r="BO131" s="73"/>
      <c r="BP131" s="156"/>
      <c r="BQ131" s="161"/>
      <c r="BR131" s="73"/>
      <c r="BS131" s="161"/>
      <c r="BT131" s="73">
        <f>SUM(AY131+BK131+BN131+BQ131)</f>
        <v>256</v>
      </c>
      <c r="BU131" s="73"/>
      <c r="BV131" s="167"/>
    </row>
    <row r="132" spans="1:74" ht="15" customHeight="1" x14ac:dyDescent="0.25">
      <c r="A132" s="134" t="s">
        <v>459</v>
      </c>
      <c r="B132" s="135" t="s">
        <v>460</v>
      </c>
      <c r="C132" s="135" t="s">
        <v>481</v>
      </c>
      <c r="D132" s="73">
        <v>143</v>
      </c>
      <c r="E132" s="45" t="s">
        <v>409</v>
      </c>
      <c r="F132" s="73" t="s">
        <v>1154</v>
      </c>
      <c r="G132" s="157">
        <v>146573</v>
      </c>
      <c r="H132" s="48" t="s">
        <v>771</v>
      </c>
      <c r="I132" s="49">
        <v>45000</v>
      </c>
      <c r="J132" s="45" t="s">
        <v>1124</v>
      </c>
      <c r="K132" s="45" t="s">
        <v>1125</v>
      </c>
      <c r="L132" s="142" t="s">
        <v>768</v>
      </c>
      <c r="M132" s="152" t="s">
        <v>1330</v>
      </c>
      <c r="N132" s="136">
        <v>76111501</v>
      </c>
      <c r="O132" s="144" t="s">
        <v>1142</v>
      </c>
      <c r="P132" s="158">
        <v>15332899</v>
      </c>
      <c r="Q132" s="158">
        <v>15332899</v>
      </c>
      <c r="R132" s="73">
        <v>28623</v>
      </c>
      <c r="S132" s="76" t="s">
        <v>1040</v>
      </c>
      <c r="T132" s="136" t="s">
        <v>64</v>
      </c>
      <c r="U132" s="136" t="s">
        <v>65</v>
      </c>
      <c r="V132" s="165"/>
      <c r="W132" s="159" t="s">
        <v>1331</v>
      </c>
      <c r="X132" s="73" t="s">
        <v>1253</v>
      </c>
      <c r="Y132" s="49">
        <v>45027</v>
      </c>
      <c r="Z132" s="45" t="s">
        <v>1254</v>
      </c>
      <c r="AA132" s="73"/>
      <c r="AB132" s="45" t="s">
        <v>1332</v>
      </c>
      <c r="AC132" s="45"/>
      <c r="AD132" s="160" t="s">
        <v>1317</v>
      </c>
      <c r="AE132" s="73">
        <v>900427788</v>
      </c>
      <c r="AF132" s="73">
        <v>3</v>
      </c>
      <c r="AG132" s="45" t="s">
        <v>517</v>
      </c>
      <c r="AH132" s="45"/>
      <c r="AI132" s="73"/>
      <c r="AJ132" s="73"/>
      <c r="AK132" s="73" t="s">
        <v>517</v>
      </c>
      <c r="AL132" s="161" t="s">
        <v>517</v>
      </c>
      <c r="AM132" s="76">
        <v>68723</v>
      </c>
      <c r="AN132" s="49">
        <v>45027</v>
      </c>
      <c r="AO132" s="162">
        <v>15332898.6</v>
      </c>
      <c r="AP132" s="73"/>
      <c r="AQ132" s="163"/>
      <c r="AR132" s="73"/>
      <c r="AS132" s="164">
        <f>SUM(AO132+AP132+AQ132+AR132)</f>
        <v>15332898.6</v>
      </c>
      <c r="AT132" s="45" t="s">
        <v>297</v>
      </c>
      <c r="AU132" s="49">
        <v>45035</v>
      </c>
      <c r="AV132" s="153" t="s">
        <v>74</v>
      </c>
      <c r="AW132" s="49">
        <v>45027</v>
      </c>
      <c r="AX132" s="49">
        <v>45291</v>
      </c>
      <c r="AY132" s="165">
        <f>(AX132-AW132)</f>
        <v>264</v>
      </c>
      <c r="AZ132" s="154" t="s">
        <v>1333</v>
      </c>
      <c r="BA132" s="136">
        <v>1006453902</v>
      </c>
      <c r="BB132" s="73"/>
      <c r="BC132" s="73"/>
      <c r="BD132" s="73"/>
      <c r="BE132" s="161"/>
      <c r="BF132" s="73"/>
      <c r="BG132" s="161"/>
      <c r="BH132" s="156"/>
      <c r="BI132" s="73"/>
      <c r="BJ132" s="166">
        <f>SUM(AS132+BB132+BD132+BF132-BH132)</f>
        <v>15332898.6</v>
      </c>
      <c r="BK132" s="161"/>
      <c r="BL132" s="73"/>
      <c r="BM132" s="73"/>
      <c r="BN132" s="161"/>
      <c r="BO132" s="73"/>
      <c r="BP132" s="156"/>
      <c r="BQ132" s="161"/>
      <c r="BR132" s="73"/>
      <c r="BS132" s="161"/>
      <c r="BT132" s="73">
        <f>SUM(AY132+BK132+BN132+BQ132)</f>
        <v>264</v>
      </c>
      <c r="BU132" s="73"/>
      <c r="BV132" s="167"/>
    </row>
    <row r="133" spans="1:74" ht="15" customHeight="1" x14ac:dyDescent="0.25">
      <c r="A133" s="42" t="s">
        <v>459</v>
      </c>
      <c r="B133" s="43" t="s">
        <v>460</v>
      </c>
      <c r="C133" s="44" t="s">
        <v>54</v>
      </c>
      <c r="D133" s="76">
        <v>117</v>
      </c>
      <c r="E133" s="45" t="s">
        <v>344</v>
      </c>
      <c r="F133" s="76" t="s">
        <v>1056</v>
      </c>
      <c r="G133" s="100" t="s">
        <v>1057</v>
      </c>
      <c r="H133" s="48" t="s">
        <v>771</v>
      </c>
      <c r="I133" s="74">
        <v>45001</v>
      </c>
      <c r="J133" s="45" t="s">
        <v>59</v>
      </c>
      <c r="K133" s="45" t="s">
        <v>60</v>
      </c>
      <c r="L133" s="48" t="s">
        <v>188</v>
      </c>
      <c r="M133" s="73" t="s">
        <v>1058</v>
      </c>
      <c r="N133" s="48">
        <v>80161504</v>
      </c>
      <c r="O133" s="56" t="s">
        <v>1059</v>
      </c>
      <c r="P133" s="97">
        <v>95000000</v>
      </c>
      <c r="Q133" s="97">
        <v>95000000</v>
      </c>
      <c r="R133" s="76">
        <v>27923</v>
      </c>
      <c r="S133" s="76" t="s">
        <v>89</v>
      </c>
      <c r="T133" s="48" t="s">
        <v>64</v>
      </c>
      <c r="U133" s="76" t="s">
        <v>65</v>
      </c>
      <c r="V133" s="76"/>
      <c r="W133" s="100" t="s">
        <v>1060</v>
      </c>
      <c r="X133" s="76" t="s">
        <v>997</v>
      </c>
      <c r="Y133" s="161">
        <v>45002</v>
      </c>
      <c r="Z133" s="45" t="s">
        <v>67</v>
      </c>
      <c r="AA133" s="76"/>
      <c r="AB133" s="45" t="s">
        <v>68</v>
      </c>
      <c r="AC133" s="45" t="s">
        <v>69</v>
      </c>
      <c r="AD133" s="76" t="s">
        <v>1061</v>
      </c>
      <c r="AE133" s="76">
        <v>19411933</v>
      </c>
      <c r="AF133" s="76"/>
      <c r="AG133" s="45" t="s">
        <v>517</v>
      </c>
      <c r="AH133" s="45" t="s">
        <v>551</v>
      </c>
      <c r="AI133" s="73"/>
      <c r="AJ133" s="73"/>
      <c r="AK133" s="76"/>
      <c r="AL133" s="99" t="e">
        <f ca="1">+YEAR(TODAY())-YEAR([5]!Tabla1[[#This Row],[FECHA DE NACIMIENTO]])</f>
        <v>#REF!</v>
      </c>
      <c r="AM133" s="76">
        <v>57523</v>
      </c>
      <c r="AN133" s="49">
        <v>45002</v>
      </c>
      <c r="AO133" s="97">
        <v>95000000</v>
      </c>
      <c r="AP133" s="76"/>
      <c r="AQ133" s="168"/>
      <c r="AR133" s="76"/>
      <c r="AS133" s="168">
        <v>95000000</v>
      </c>
      <c r="AT133" s="45" t="s">
        <v>297</v>
      </c>
      <c r="AU133" s="161">
        <v>45002</v>
      </c>
      <c r="AV133" s="73" t="s">
        <v>74</v>
      </c>
      <c r="AW133" s="161">
        <v>45006</v>
      </c>
      <c r="AX133" s="161">
        <v>45291</v>
      </c>
      <c r="AY133" s="76">
        <v>285</v>
      </c>
      <c r="AZ133" s="97" t="s">
        <v>192</v>
      </c>
      <c r="BA133" s="48">
        <v>79321317</v>
      </c>
      <c r="BB133" s="97"/>
      <c r="BC133" s="100"/>
      <c r="BD133" s="76"/>
      <c r="BE133" s="100"/>
      <c r="BF133" s="76"/>
      <c r="BG133" s="100"/>
      <c r="BH133" s="97"/>
      <c r="BI133" s="100"/>
      <c r="BJ133" s="97">
        <v>95000000</v>
      </c>
      <c r="BK133" s="100"/>
      <c r="BL133" s="100"/>
      <c r="BM133" s="100"/>
      <c r="BN133" s="100"/>
      <c r="BO133" s="76"/>
      <c r="BP133" s="100"/>
      <c r="BQ133" s="100"/>
      <c r="BR133" s="97"/>
      <c r="BS133" s="100"/>
      <c r="BT133" s="76">
        <v>285</v>
      </c>
      <c r="BU133" s="100"/>
      <c r="BV133" s="102"/>
    </row>
    <row r="134" spans="1:74" ht="15" customHeight="1" x14ac:dyDescent="0.25">
      <c r="A134" s="42" t="s">
        <v>459</v>
      </c>
      <c r="B134" s="43" t="s">
        <v>460</v>
      </c>
      <c r="C134" s="44" t="s">
        <v>54</v>
      </c>
      <c r="D134" s="76">
        <v>145</v>
      </c>
      <c r="E134" s="48" t="s">
        <v>345</v>
      </c>
      <c r="F134" s="76" t="s">
        <v>944</v>
      </c>
      <c r="G134" s="100" t="s">
        <v>945</v>
      </c>
      <c r="H134" s="48" t="s">
        <v>771</v>
      </c>
      <c r="I134" s="77">
        <v>45002</v>
      </c>
      <c r="J134" s="76" t="s">
        <v>59</v>
      </c>
      <c r="K134" s="76" t="s">
        <v>946</v>
      </c>
      <c r="L134" s="48" t="s">
        <v>291</v>
      </c>
      <c r="M134" s="76" t="s">
        <v>947</v>
      </c>
      <c r="N134" s="76">
        <v>78102203</v>
      </c>
      <c r="O134" s="97" t="s">
        <v>948</v>
      </c>
      <c r="P134" s="97">
        <v>351000000</v>
      </c>
      <c r="Q134" s="97">
        <v>351000000</v>
      </c>
      <c r="R134" s="76">
        <v>27823</v>
      </c>
      <c r="S134" s="76" t="s">
        <v>949</v>
      </c>
      <c r="T134" s="48" t="s">
        <v>64</v>
      </c>
      <c r="U134" s="76" t="s">
        <v>65</v>
      </c>
      <c r="V134" s="76" t="s">
        <v>517</v>
      </c>
      <c r="W134" s="100" t="s">
        <v>950</v>
      </c>
      <c r="X134" s="73" t="s">
        <v>771</v>
      </c>
      <c r="Y134" s="61">
        <v>45016</v>
      </c>
      <c r="Z134" s="76" t="s">
        <v>951</v>
      </c>
      <c r="AA134" s="76"/>
      <c r="AB134" s="48" t="s">
        <v>295</v>
      </c>
      <c r="AC134" s="48" t="s">
        <v>69</v>
      </c>
      <c r="AD134" s="76" t="s">
        <v>952</v>
      </c>
      <c r="AE134" s="76">
        <v>900062917</v>
      </c>
      <c r="AF134" s="76">
        <v>9</v>
      </c>
      <c r="AG134" s="48" t="s">
        <v>517</v>
      </c>
      <c r="AH134" s="48"/>
      <c r="AI134" s="73" t="s">
        <v>953</v>
      </c>
      <c r="AJ134" s="73"/>
      <c r="AK134" s="76" t="s">
        <v>517</v>
      </c>
      <c r="AL134" s="99" t="e">
        <f ca="1">+YEAR(TODAY())-YEAR([6]!Tabla1[[#This Row],[FECHA DE NACIMIENTO]])</f>
        <v>#REF!</v>
      </c>
      <c r="AM134" s="73">
        <v>64723</v>
      </c>
      <c r="AN134" s="61">
        <v>45019</v>
      </c>
      <c r="AO134" s="97">
        <v>351000000</v>
      </c>
      <c r="AP134" s="76"/>
      <c r="AQ134" s="168"/>
      <c r="AR134" s="76"/>
      <c r="AS134" s="168">
        <v>351000000</v>
      </c>
      <c r="AT134" s="48" t="s">
        <v>478</v>
      </c>
      <c r="AU134" s="61" t="s">
        <v>517</v>
      </c>
      <c r="AV134" s="169" t="s">
        <v>517</v>
      </c>
      <c r="AW134" s="61">
        <v>45019</v>
      </c>
      <c r="AX134" s="61">
        <v>45291</v>
      </c>
      <c r="AY134" s="73">
        <f>(AX134-AW134)</f>
        <v>272</v>
      </c>
      <c r="AZ134" s="97" t="s">
        <v>954</v>
      </c>
      <c r="BA134" s="73">
        <v>36551065</v>
      </c>
      <c r="BB134" s="97"/>
      <c r="BC134" s="100"/>
      <c r="BD134" s="76"/>
      <c r="BE134" s="100"/>
      <c r="BF134" s="76"/>
      <c r="BG134" s="100"/>
      <c r="BH134" s="97"/>
      <c r="BI134" s="100"/>
      <c r="BJ134" s="156" t="e">
        <f>([6]!Tabla1[[#This Row],[VALOR TOTAL CONTRATO + VF]]+[6]!Tabla1[[#This Row],[ADICION 1 ]]+[6]!Tabla1[[#This Row],[ADICION 2]]-[6]!Tabla1[[#This Row],[LIBERACION]])</f>
        <v>#REF!</v>
      </c>
      <c r="BK134" s="100"/>
      <c r="BL134" s="100"/>
      <c r="BM134" s="100"/>
      <c r="BN134" s="100"/>
      <c r="BO134" s="76"/>
      <c r="BP134" s="100"/>
      <c r="BQ134" s="100"/>
      <c r="BR134" s="97"/>
      <c r="BS134" s="100"/>
      <c r="BT134" s="76">
        <f>SUM(AY134+BK134+BN134+BQ134)</f>
        <v>272</v>
      </c>
      <c r="BU134" s="100"/>
      <c r="BV134" s="102"/>
    </row>
    <row r="135" spans="1:74" s="234" customFormat="1" ht="15" customHeight="1" x14ac:dyDescent="0.25">
      <c r="A135" s="242" t="s">
        <v>459</v>
      </c>
      <c r="B135" s="243" t="s">
        <v>460</v>
      </c>
      <c r="C135" s="244" t="s">
        <v>54</v>
      </c>
      <c r="D135" s="245">
        <v>61</v>
      </c>
      <c r="E135" s="234" t="s">
        <v>344</v>
      </c>
      <c r="F135" s="245" t="s">
        <v>1062</v>
      </c>
      <c r="G135" s="246" t="s">
        <v>1063</v>
      </c>
      <c r="H135" s="245" t="s">
        <v>997</v>
      </c>
      <c r="I135" s="236">
        <v>45002</v>
      </c>
      <c r="J135" s="234" t="s">
        <v>59</v>
      </c>
      <c r="K135" s="234" t="s">
        <v>60</v>
      </c>
      <c r="L135" s="234" t="s">
        <v>225</v>
      </c>
      <c r="M135" s="247" t="s">
        <v>1064</v>
      </c>
      <c r="N135" s="248" t="s">
        <v>1065</v>
      </c>
      <c r="O135" s="248" t="s">
        <v>1066</v>
      </c>
      <c r="P135" s="248">
        <v>76000000</v>
      </c>
      <c r="Q135" s="248">
        <v>76000000</v>
      </c>
      <c r="R135" s="245">
        <v>27623</v>
      </c>
      <c r="S135" s="245" t="s">
        <v>89</v>
      </c>
      <c r="T135" s="249" t="s">
        <v>64</v>
      </c>
      <c r="U135" s="245" t="s">
        <v>65</v>
      </c>
      <c r="V135" s="250"/>
      <c r="W135" s="246" t="s">
        <v>1067</v>
      </c>
      <c r="X135" s="245" t="s">
        <v>997</v>
      </c>
      <c r="Y135" s="251">
        <v>45007</v>
      </c>
      <c r="Z135" s="234" t="s">
        <v>67</v>
      </c>
      <c r="AA135" s="250"/>
      <c r="AB135" s="234" t="s">
        <v>68</v>
      </c>
      <c r="AC135" s="234" t="s">
        <v>69</v>
      </c>
      <c r="AD135" s="245" t="s">
        <v>1068</v>
      </c>
      <c r="AE135" s="245">
        <v>86062223</v>
      </c>
      <c r="AF135" s="250"/>
      <c r="AG135" s="252" t="s">
        <v>517</v>
      </c>
      <c r="AH135" s="252" t="s">
        <v>551</v>
      </c>
      <c r="AI135" s="253"/>
      <c r="AJ135" s="253"/>
      <c r="AK135" s="250"/>
      <c r="AL135" s="254" t="e">
        <f ca="1">+YEAR(TODAY())-YEAR([9]!Tabla1[[#This Row],[FECHA DE NACIMIENTO]])</f>
        <v>#REF!</v>
      </c>
      <c r="AM135" s="245">
        <v>59723</v>
      </c>
      <c r="AN135" s="251">
        <v>45008</v>
      </c>
      <c r="AO135" s="255">
        <v>76000000</v>
      </c>
      <c r="AP135" s="250"/>
      <c r="AQ135" s="240"/>
      <c r="AR135" s="250"/>
      <c r="AS135" s="240">
        <v>76000000</v>
      </c>
      <c r="AT135" s="234" t="s">
        <v>297</v>
      </c>
      <c r="AU135" s="251">
        <v>45007</v>
      </c>
      <c r="AV135" s="256" t="s">
        <v>74</v>
      </c>
      <c r="AW135" s="251">
        <v>45008</v>
      </c>
      <c r="AX135" s="251">
        <v>45291</v>
      </c>
      <c r="AY135" s="244">
        <f t="shared" ref="AY135" si="15">(AX135-AW135)</f>
        <v>283</v>
      </c>
      <c r="AZ135" s="234" t="s">
        <v>92</v>
      </c>
      <c r="BA135" s="234">
        <v>19498970</v>
      </c>
      <c r="BB135" s="255"/>
      <c r="BC135" s="257"/>
      <c r="BD135" s="250"/>
      <c r="BE135" s="257"/>
      <c r="BF135" s="250"/>
      <c r="BG135" s="257"/>
      <c r="BH135" s="255"/>
      <c r="BI135" s="257"/>
      <c r="BJ135" s="255">
        <v>76000000</v>
      </c>
      <c r="BK135" s="257"/>
      <c r="BL135" s="257"/>
      <c r="BM135" s="257"/>
      <c r="BN135" s="257"/>
      <c r="BO135" s="250"/>
      <c r="BP135" s="257"/>
      <c r="BQ135" s="257"/>
      <c r="BR135" s="255"/>
      <c r="BS135" s="257"/>
      <c r="BT135" s="245">
        <v>289</v>
      </c>
      <c r="BU135" s="257"/>
      <c r="BV135" s="258"/>
    </row>
    <row r="136" spans="1:74" ht="15" customHeight="1" x14ac:dyDescent="0.25">
      <c r="A136" s="42" t="s">
        <v>459</v>
      </c>
      <c r="B136" s="43" t="s">
        <v>460</v>
      </c>
      <c r="C136" s="44" t="s">
        <v>481</v>
      </c>
      <c r="D136" s="76">
        <v>122</v>
      </c>
      <c r="E136" s="45" t="s">
        <v>344</v>
      </c>
      <c r="F136" s="76" t="s">
        <v>1069</v>
      </c>
      <c r="G136" s="76">
        <v>180076</v>
      </c>
      <c r="H136" s="48" t="s">
        <v>771</v>
      </c>
      <c r="I136" s="74">
        <v>45002</v>
      </c>
      <c r="J136" s="45" t="s">
        <v>651</v>
      </c>
      <c r="K136" s="48" t="s">
        <v>1070</v>
      </c>
      <c r="L136" s="73" t="s">
        <v>61</v>
      </c>
      <c r="M136" s="73" t="s">
        <v>1071</v>
      </c>
      <c r="N136" s="97" t="s">
        <v>1072</v>
      </c>
      <c r="O136" s="73" t="s">
        <v>1073</v>
      </c>
      <c r="P136" s="97">
        <v>45000000</v>
      </c>
      <c r="Q136" s="97">
        <v>44999707</v>
      </c>
      <c r="R136" s="76">
        <v>30123</v>
      </c>
      <c r="S136" s="73" t="s">
        <v>1074</v>
      </c>
      <c r="T136" s="48" t="s">
        <v>64</v>
      </c>
      <c r="U136" s="76" t="s">
        <v>65</v>
      </c>
      <c r="V136" s="76"/>
      <c r="W136" s="100" t="s">
        <v>1075</v>
      </c>
      <c r="X136" s="76" t="s">
        <v>997</v>
      </c>
      <c r="Y136" s="49">
        <v>45006</v>
      </c>
      <c r="Z136" s="45" t="s">
        <v>658</v>
      </c>
      <c r="AA136" s="76"/>
      <c r="AB136" s="45" t="s">
        <v>68</v>
      </c>
      <c r="AC136" s="45" t="s">
        <v>69</v>
      </c>
      <c r="AD136" s="73" t="s">
        <v>659</v>
      </c>
      <c r="AE136" s="73">
        <v>900155107</v>
      </c>
      <c r="AF136" s="76"/>
      <c r="AG136" s="45" t="s">
        <v>517</v>
      </c>
      <c r="AH136" s="45" t="s">
        <v>551</v>
      </c>
      <c r="AI136" s="73"/>
      <c r="AJ136" s="73"/>
      <c r="AK136" s="76"/>
      <c r="AL136" s="99" t="e">
        <f ca="1">+YEAR(TODAY())-YEAR([5]!Tabla1[[#This Row],[FECHA DE NACIMIENTO]])</f>
        <v>#REF!</v>
      </c>
      <c r="AM136" s="76">
        <v>60823</v>
      </c>
      <c r="AN136" s="49">
        <v>45009</v>
      </c>
      <c r="AO136" s="97">
        <v>4335800</v>
      </c>
      <c r="AP136" s="76"/>
      <c r="AQ136" s="168"/>
      <c r="AR136" s="76"/>
      <c r="AS136" s="97">
        <v>4335800</v>
      </c>
      <c r="AT136" s="48" t="s">
        <v>1076</v>
      </c>
      <c r="AU136" s="61" t="s">
        <v>517</v>
      </c>
      <c r="AV136" s="169" t="s">
        <v>517</v>
      </c>
      <c r="AW136" s="49">
        <v>45006</v>
      </c>
      <c r="AX136" s="49">
        <v>45094</v>
      </c>
      <c r="AY136" s="76">
        <v>88</v>
      </c>
      <c r="AZ136" s="97" t="s">
        <v>1077</v>
      </c>
      <c r="BA136" s="76">
        <v>40029680</v>
      </c>
      <c r="BB136" s="97"/>
      <c r="BC136" s="100"/>
      <c r="BD136" s="76"/>
      <c r="BE136" s="100"/>
      <c r="BF136" s="76"/>
      <c r="BG136" s="100"/>
      <c r="BH136" s="97"/>
      <c r="BI136" s="100"/>
      <c r="BJ136" s="97">
        <v>4335800</v>
      </c>
      <c r="BK136" s="100"/>
      <c r="BL136" s="100"/>
      <c r="BM136" s="100"/>
      <c r="BN136" s="100"/>
      <c r="BO136" s="76"/>
      <c r="BP136" s="100"/>
      <c r="BQ136" s="100"/>
      <c r="BR136" s="97"/>
      <c r="BS136" s="100"/>
      <c r="BT136" s="76">
        <v>88</v>
      </c>
      <c r="BU136" s="100"/>
      <c r="BV136" s="102"/>
    </row>
    <row r="137" spans="1:74" ht="15" customHeight="1" x14ac:dyDescent="0.25">
      <c r="A137" s="42" t="s">
        <v>459</v>
      </c>
      <c r="B137" s="43" t="s">
        <v>460</v>
      </c>
      <c r="C137" s="44" t="s">
        <v>481</v>
      </c>
      <c r="D137" s="76">
        <v>122</v>
      </c>
      <c r="E137" s="45" t="s">
        <v>344</v>
      </c>
      <c r="F137" s="76" t="s">
        <v>1078</v>
      </c>
      <c r="G137" s="76">
        <v>182971</v>
      </c>
      <c r="H137" s="48" t="s">
        <v>771</v>
      </c>
      <c r="I137" s="74">
        <v>45002</v>
      </c>
      <c r="J137" s="45" t="s">
        <v>651</v>
      </c>
      <c r="K137" s="48" t="s">
        <v>1070</v>
      </c>
      <c r="L137" s="45" t="s">
        <v>61</v>
      </c>
      <c r="M137" s="73" t="s">
        <v>1071</v>
      </c>
      <c r="N137" s="97" t="s">
        <v>1072</v>
      </c>
      <c r="O137" s="73" t="s">
        <v>1073</v>
      </c>
      <c r="P137" s="97">
        <v>45000000</v>
      </c>
      <c r="Q137" s="97">
        <v>44999707</v>
      </c>
      <c r="R137" s="76">
        <v>30123</v>
      </c>
      <c r="S137" s="73" t="s">
        <v>1074</v>
      </c>
      <c r="T137" s="48" t="s">
        <v>64</v>
      </c>
      <c r="U137" s="76" t="s">
        <v>65</v>
      </c>
      <c r="V137" s="76"/>
      <c r="W137" s="100" t="s">
        <v>1079</v>
      </c>
      <c r="X137" s="76" t="s">
        <v>997</v>
      </c>
      <c r="Y137" s="49">
        <v>45006</v>
      </c>
      <c r="Z137" s="45" t="s">
        <v>658</v>
      </c>
      <c r="AA137" s="76"/>
      <c r="AB137" s="45" t="s">
        <v>68</v>
      </c>
      <c r="AC137" s="45" t="s">
        <v>69</v>
      </c>
      <c r="AD137" s="76" t="s">
        <v>1080</v>
      </c>
      <c r="AE137" s="76" t="s">
        <v>1081</v>
      </c>
      <c r="AF137" s="76"/>
      <c r="AG137" s="45" t="s">
        <v>517</v>
      </c>
      <c r="AH137" s="45" t="s">
        <v>551</v>
      </c>
      <c r="AI137" s="73"/>
      <c r="AJ137" s="73"/>
      <c r="AK137" s="76"/>
      <c r="AL137" s="99" t="e">
        <f ca="1">+YEAR(TODAY())-YEAR([5]!Tabla1[[#This Row],[FECHA DE NACIMIENTO]])</f>
        <v>#REF!</v>
      </c>
      <c r="AM137" s="76">
        <v>60923</v>
      </c>
      <c r="AN137" s="49">
        <v>45009</v>
      </c>
      <c r="AO137" s="97">
        <v>6936000</v>
      </c>
      <c r="AP137" s="76"/>
      <c r="AQ137" s="168"/>
      <c r="AR137" s="76"/>
      <c r="AS137" s="97">
        <v>6936000</v>
      </c>
      <c r="AT137" s="48" t="s">
        <v>1076</v>
      </c>
      <c r="AU137" s="61" t="s">
        <v>517</v>
      </c>
      <c r="AV137" s="169" t="s">
        <v>517</v>
      </c>
      <c r="AW137" s="49">
        <v>45006</v>
      </c>
      <c r="AX137" s="49">
        <v>45094</v>
      </c>
      <c r="AY137" s="76">
        <v>88</v>
      </c>
      <c r="AZ137" s="56" t="s">
        <v>1077</v>
      </c>
      <c r="BA137" s="48">
        <v>40029680</v>
      </c>
      <c r="BB137" s="97"/>
      <c r="BC137" s="100"/>
      <c r="BD137" s="76"/>
      <c r="BE137" s="100"/>
      <c r="BF137" s="76"/>
      <c r="BG137" s="100"/>
      <c r="BH137" s="97"/>
      <c r="BI137" s="100"/>
      <c r="BJ137" s="97">
        <v>6936000</v>
      </c>
      <c r="BK137" s="100"/>
      <c r="BL137" s="100"/>
      <c r="BM137" s="100"/>
      <c r="BN137" s="100"/>
      <c r="BO137" s="76"/>
      <c r="BP137" s="100"/>
      <c r="BQ137" s="100"/>
      <c r="BR137" s="97"/>
      <c r="BS137" s="100"/>
      <c r="BT137" s="76">
        <v>88</v>
      </c>
      <c r="BU137" s="100"/>
      <c r="BV137" s="102"/>
    </row>
    <row r="138" spans="1:74" ht="15" customHeight="1" x14ac:dyDescent="0.25">
      <c r="A138" s="134" t="s">
        <v>459</v>
      </c>
      <c r="B138" s="135" t="s">
        <v>460</v>
      </c>
      <c r="C138" s="135" t="s">
        <v>481</v>
      </c>
      <c r="D138" s="73">
        <v>140</v>
      </c>
      <c r="E138" s="45" t="s">
        <v>409</v>
      </c>
      <c r="F138" s="73" t="s">
        <v>1153</v>
      </c>
      <c r="G138" s="157">
        <v>146696</v>
      </c>
      <c r="H138" s="48" t="s">
        <v>1159</v>
      </c>
      <c r="I138" s="49">
        <v>45027</v>
      </c>
      <c r="J138" s="45" t="s">
        <v>1124</v>
      </c>
      <c r="K138" s="73" t="s">
        <v>1125</v>
      </c>
      <c r="L138" s="142" t="s">
        <v>768</v>
      </c>
      <c r="M138" s="152" t="s">
        <v>1324</v>
      </c>
      <c r="N138" s="165">
        <v>76111501</v>
      </c>
      <c r="O138" s="170" t="s">
        <v>1142</v>
      </c>
      <c r="P138" s="158">
        <v>31710054</v>
      </c>
      <c r="Q138" s="158">
        <v>31710054</v>
      </c>
      <c r="R138" s="73">
        <v>28623</v>
      </c>
      <c r="S138" s="76" t="s">
        <v>1040</v>
      </c>
      <c r="T138" s="136" t="s">
        <v>64</v>
      </c>
      <c r="U138" s="165" t="s">
        <v>65</v>
      </c>
      <c r="V138" s="73"/>
      <c r="W138" s="159" t="s">
        <v>1325</v>
      </c>
      <c r="X138" s="73" t="s">
        <v>1253</v>
      </c>
      <c r="Y138" s="49">
        <v>45027</v>
      </c>
      <c r="Z138" s="45" t="s">
        <v>1254</v>
      </c>
      <c r="AA138" s="73"/>
      <c r="AB138" s="45" t="s">
        <v>1326</v>
      </c>
      <c r="AC138" s="45"/>
      <c r="AD138" s="146" t="s">
        <v>1317</v>
      </c>
      <c r="AE138" s="45">
        <v>900427788</v>
      </c>
      <c r="AF138" s="73">
        <v>3</v>
      </c>
      <c r="AG138" s="45" t="s">
        <v>517</v>
      </c>
      <c r="AH138" s="45"/>
      <c r="AI138" s="73"/>
      <c r="AJ138" s="73"/>
      <c r="AK138" s="73" t="s">
        <v>517</v>
      </c>
      <c r="AL138" s="161" t="s">
        <v>517</v>
      </c>
      <c r="AM138" s="76">
        <v>68823</v>
      </c>
      <c r="AN138" s="49">
        <v>45027</v>
      </c>
      <c r="AO138" s="162">
        <v>31710054.149999999</v>
      </c>
      <c r="AP138" s="73"/>
      <c r="AQ138" s="163"/>
      <c r="AR138" s="73"/>
      <c r="AS138" s="164">
        <f>SUM(AO138+AP138+AQ138+AR138)</f>
        <v>31710054.149999999</v>
      </c>
      <c r="AT138" s="73" t="s">
        <v>297</v>
      </c>
      <c r="AU138" s="161">
        <v>45020</v>
      </c>
      <c r="AV138" s="165" t="s">
        <v>74</v>
      </c>
      <c r="AW138" s="49">
        <v>45027</v>
      </c>
      <c r="AX138" s="49">
        <v>45291</v>
      </c>
      <c r="AY138" s="165">
        <f>(AX138-AW138)</f>
        <v>264</v>
      </c>
      <c r="AZ138" s="154" t="s">
        <v>1287</v>
      </c>
      <c r="BA138" s="165">
        <v>67026330</v>
      </c>
      <c r="BB138" s="73"/>
      <c r="BC138" s="73"/>
      <c r="BD138" s="73"/>
      <c r="BE138" s="161"/>
      <c r="BF138" s="73"/>
      <c r="BG138" s="161"/>
      <c r="BH138" s="156"/>
      <c r="BI138" s="73"/>
      <c r="BJ138" s="166">
        <f>SUM(AS138+BB138+BD138+BF138-BH138)</f>
        <v>31710054.149999999</v>
      </c>
      <c r="BK138" s="161"/>
      <c r="BL138" s="73"/>
      <c r="BM138" s="73"/>
      <c r="BN138" s="161"/>
      <c r="BO138" s="73"/>
      <c r="BP138" s="156"/>
      <c r="BQ138" s="161"/>
      <c r="BR138" s="73"/>
      <c r="BS138" s="161"/>
      <c r="BT138" s="73">
        <f>SUM(AY138+BK138+BN138+BQ138)</f>
        <v>264</v>
      </c>
      <c r="BU138" s="73"/>
      <c r="BV138" s="167"/>
    </row>
    <row r="139" spans="1:74" ht="15" customHeight="1" x14ac:dyDescent="0.25">
      <c r="A139" s="42" t="s">
        <v>459</v>
      </c>
      <c r="B139" s="43" t="s">
        <v>460</v>
      </c>
      <c r="C139" s="44" t="s">
        <v>54</v>
      </c>
      <c r="D139" s="76">
        <v>279</v>
      </c>
      <c r="E139" s="45" t="s">
        <v>344</v>
      </c>
      <c r="F139" s="48" t="s">
        <v>1046</v>
      </c>
      <c r="G139" s="100" t="s">
        <v>1047</v>
      </c>
      <c r="H139" s="48" t="s">
        <v>771</v>
      </c>
      <c r="I139" s="74">
        <v>45006</v>
      </c>
      <c r="J139" s="48" t="s">
        <v>1035</v>
      </c>
      <c r="K139" s="76" t="s">
        <v>1048</v>
      </c>
      <c r="L139" s="45" t="s">
        <v>768</v>
      </c>
      <c r="M139" s="73" t="s">
        <v>1049</v>
      </c>
      <c r="N139" s="97" t="s">
        <v>1038</v>
      </c>
      <c r="O139" s="97" t="s">
        <v>1039</v>
      </c>
      <c r="P139" s="97">
        <v>52000000</v>
      </c>
      <c r="Q139" s="97">
        <v>52000000</v>
      </c>
      <c r="R139" s="76">
        <v>24423</v>
      </c>
      <c r="S139" s="76" t="s">
        <v>1040</v>
      </c>
      <c r="T139" s="48" t="s">
        <v>64</v>
      </c>
      <c r="U139" s="76" t="s">
        <v>65</v>
      </c>
      <c r="V139" s="48"/>
      <c r="W139" s="61" t="s">
        <v>1050</v>
      </c>
      <c r="X139" s="76" t="s">
        <v>997</v>
      </c>
      <c r="Y139" s="49">
        <v>45007</v>
      </c>
      <c r="Z139" s="48" t="s">
        <v>1042</v>
      </c>
      <c r="AA139" s="48"/>
      <c r="AB139" s="48" t="s">
        <v>1051</v>
      </c>
      <c r="AC139" s="48" t="s">
        <v>1052</v>
      </c>
      <c r="AD139" s="48" t="s">
        <v>1053</v>
      </c>
      <c r="AE139" s="48" t="s">
        <v>1054</v>
      </c>
      <c r="AF139" s="48"/>
      <c r="AG139" s="45" t="s">
        <v>517</v>
      </c>
      <c r="AH139" s="45" t="s">
        <v>551</v>
      </c>
      <c r="AI139" s="45"/>
      <c r="AJ139" s="45"/>
      <c r="AK139" s="48"/>
      <c r="AL139" s="58" t="e">
        <f ca="1">+YEAR(TODAY())-YEAR([5]!Tabla1[[#This Row],[FECHA DE NACIMIENTO]])</f>
        <v>#REF!</v>
      </c>
      <c r="AM139" s="48">
        <v>59523</v>
      </c>
      <c r="AN139" s="49">
        <v>45008</v>
      </c>
      <c r="AO139" s="56">
        <v>52000000</v>
      </c>
      <c r="AP139" s="48"/>
      <c r="AQ139" s="59"/>
      <c r="AR139" s="48"/>
      <c r="AS139" s="59">
        <v>52000000</v>
      </c>
      <c r="AT139" s="73" t="s">
        <v>297</v>
      </c>
      <c r="AU139" s="161">
        <v>45009</v>
      </c>
      <c r="AV139" s="73" t="s">
        <v>74</v>
      </c>
      <c r="AW139" s="49">
        <v>45009</v>
      </c>
      <c r="AX139" s="49">
        <v>45040</v>
      </c>
      <c r="AY139" s="48">
        <v>30</v>
      </c>
      <c r="AZ139" s="97" t="s">
        <v>1055</v>
      </c>
      <c r="BA139" s="76">
        <v>30738603</v>
      </c>
      <c r="BB139" s="56"/>
      <c r="BC139" s="61"/>
      <c r="BD139" s="48"/>
      <c r="BE139" s="61"/>
      <c r="BF139" s="48"/>
      <c r="BG139" s="61"/>
      <c r="BH139" s="56"/>
      <c r="BI139" s="61"/>
      <c r="BJ139" s="56">
        <v>52000000</v>
      </c>
      <c r="BK139" s="61"/>
      <c r="BL139" s="61"/>
      <c r="BM139" s="61"/>
      <c r="BN139" s="61"/>
      <c r="BO139" s="48"/>
      <c r="BP139" s="61"/>
      <c r="BQ139" s="61"/>
      <c r="BR139" s="56"/>
      <c r="BS139" s="61"/>
      <c r="BT139" s="48">
        <v>30</v>
      </c>
      <c r="BU139" s="61"/>
      <c r="BV139" s="60"/>
    </row>
    <row r="140" spans="1:74" ht="15" customHeight="1" x14ac:dyDescent="0.25">
      <c r="A140" s="42" t="s">
        <v>459</v>
      </c>
      <c r="B140" s="43" t="s">
        <v>460</v>
      </c>
      <c r="C140" s="44" t="s">
        <v>481</v>
      </c>
      <c r="D140" s="76">
        <v>122</v>
      </c>
      <c r="E140" s="45" t="s">
        <v>344</v>
      </c>
      <c r="F140" s="48" t="s">
        <v>1082</v>
      </c>
      <c r="G140" s="76">
        <v>182978</v>
      </c>
      <c r="H140" s="48" t="s">
        <v>771</v>
      </c>
      <c r="I140" s="74">
        <v>45006</v>
      </c>
      <c r="J140" s="45" t="s">
        <v>651</v>
      </c>
      <c r="K140" s="76" t="s">
        <v>1070</v>
      </c>
      <c r="L140" s="45" t="s">
        <v>61</v>
      </c>
      <c r="M140" s="73" t="s">
        <v>1071</v>
      </c>
      <c r="N140" s="97" t="s">
        <v>1072</v>
      </c>
      <c r="O140" s="73" t="s">
        <v>1073</v>
      </c>
      <c r="P140" s="97">
        <v>45000000</v>
      </c>
      <c r="Q140" s="97">
        <v>44999707</v>
      </c>
      <c r="R140" s="76">
        <v>30123</v>
      </c>
      <c r="S140" s="73" t="s">
        <v>1074</v>
      </c>
      <c r="T140" s="48" t="s">
        <v>64</v>
      </c>
      <c r="U140" s="76" t="s">
        <v>65</v>
      </c>
      <c r="V140" s="48"/>
      <c r="W140" s="61" t="s">
        <v>1083</v>
      </c>
      <c r="X140" s="76" t="s">
        <v>997</v>
      </c>
      <c r="Y140" s="49">
        <v>45008</v>
      </c>
      <c r="Z140" s="45" t="s">
        <v>658</v>
      </c>
      <c r="AA140" s="48"/>
      <c r="AB140" s="45" t="s">
        <v>68</v>
      </c>
      <c r="AC140" s="45" t="s">
        <v>69</v>
      </c>
      <c r="AD140" s="48" t="s">
        <v>1084</v>
      </c>
      <c r="AE140" s="48" t="s">
        <v>1085</v>
      </c>
      <c r="AF140" s="48"/>
      <c r="AG140" s="45" t="s">
        <v>517</v>
      </c>
      <c r="AH140" s="45" t="s">
        <v>551</v>
      </c>
      <c r="AI140" s="45"/>
      <c r="AJ140" s="45"/>
      <c r="AK140" s="48"/>
      <c r="AL140" s="58" t="e">
        <f ca="1">+YEAR(TODAY())-YEAR([5]!Tabla1[[#This Row],[FECHA DE NACIMIENTO]])</f>
        <v>#REF!</v>
      </c>
      <c r="AM140" s="48">
        <v>61023</v>
      </c>
      <c r="AN140" s="49">
        <v>45009</v>
      </c>
      <c r="AO140" s="56">
        <v>2660583</v>
      </c>
      <c r="AP140" s="48"/>
      <c r="AQ140" s="59"/>
      <c r="AR140" s="48"/>
      <c r="AS140" s="56">
        <v>2660583</v>
      </c>
      <c r="AT140" s="76" t="s">
        <v>1076</v>
      </c>
      <c r="AU140" s="100" t="s">
        <v>517</v>
      </c>
      <c r="AV140" s="100" t="s">
        <v>517</v>
      </c>
      <c r="AW140" s="49">
        <v>45008</v>
      </c>
      <c r="AX140" s="49">
        <v>45098</v>
      </c>
      <c r="AY140" s="48">
        <v>90</v>
      </c>
      <c r="AZ140" s="97" t="s">
        <v>1077</v>
      </c>
      <c r="BA140" s="76">
        <v>40029680</v>
      </c>
      <c r="BB140" s="56"/>
      <c r="BC140" s="61"/>
      <c r="BD140" s="48"/>
      <c r="BE140" s="61"/>
      <c r="BF140" s="48"/>
      <c r="BG140" s="61"/>
      <c r="BH140" s="56"/>
      <c r="BI140" s="61"/>
      <c r="BJ140" s="56">
        <v>2660583</v>
      </c>
      <c r="BK140" s="61"/>
      <c r="BL140" s="61"/>
      <c r="BM140" s="61"/>
      <c r="BN140" s="61"/>
      <c r="BO140" s="48"/>
      <c r="BP140" s="61"/>
      <c r="BQ140" s="61"/>
      <c r="BR140" s="56"/>
      <c r="BS140" s="61"/>
      <c r="BT140" s="48">
        <v>90</v>
      </c>
      <c r="BU140" s="61"/>
      <c r="BV140" s="60"/>
    </row>
    <row r="141" spans="1:74" s="83" customFormat="1" ht="15" customHeight="1" x14ac:dyDescent="0.25">
      <c r="A141" s="85" t="s">
        <v>459</v>
      </c>
      <c r="B141" s="85" t="s">
        <v>460</v>
      </c>
      <c r="C141" s="82" t="s">
        <v>54</v>
      </c>
      <c r="D141" s="85">
        <v>279</v>
      </c>
      <c r="E141" s="82" t="s">
        <v>344</v>
      </c>
      <c r="F141" s="85" t="s">
        <v>1046</v>
      </c>
      <c r="G141" s="171" t="s">
        <v>1047</v>
      </c>
      <c r="H141" s="85" t="s">
        <v>771</v>
      </c>
      <c r="I141" s="84">
        <v>45006</v>
      </c>
      <c r="J141" s="85" t="s">
        <v>1035</v>
      </c>
      <c r="K141" s="85" t="s">
        <v>1048</v>
      </c>
      <c r="L141" s="82" t="s">
        <v>768</v>
      </c>
      <c r="M141" s="82" t="s">
        <v>1049</v>
      </c>
      <c r="N141" s="172" t="s">
        <v>1038</v>
      </c>
      <c r="O141" s="172" t="s">
        <v>1039</v>
      </c>
      <c r="P141" s="172">
        <v>52000000</v>
      </c>
      <c r="Q141" s="172">
        <v>52000000</v>
      </c>
      <c r="R141" s="85">
        <v>24423</v>
      </c>
      <c r="S141" s="85" t="s">
        <v>1040</v>
      </c>
      <c r="T141" s="85" t="s">
        <v>64</v>
      </c>
      <c r="U141" s="85" t="s">
        <v>65</v>
      </c>
      <c r="V141" s="85"/>
      <c r="W141" s="171" t="s">
        <v>1050</v>
      </c>
      <c r="X141" s="85" t="s">
        <v>997</v>
      </c>
      <c r="Y141" s="89">
        <v>45007</v>
      </c>
      <c r="Z141" s="85" t="s">
        <v>1042</v>
      </c>
      <c r="AA141" s="85"/>
      <c r="AB141" s="85" t="s">
        <v>1051</v>
      </c>
      <c r="AC141" s="85" t="s">
        <v>1052</v>
      </c>
      <c r="AD141" s="85" t="s">
        <v>1053</v>
      </c>
      <c r="AE141" s="85" t="s">
        <v>1054</v>
      </c>
      <c r="AF141" s="85"/>
      <c r="AG141" s="82" t="s">
        <v>517</v>
      </c>
      <c r="AH141" s="82" t="s">
        <v>551</v>
      </c>
      <c r="AI141" s="82"/>
      <c r="AJ141" s="82"/>
      <c r="AK141" s="85"/>
      <c r="AL141" s="88" t="s">
        <v>517</v>
      </c>
      <c r="AM141" s="85">
        <v>59523</v>
      </c>
      <c r="AN141" s="89">
        <v>45008</v>
      </c>
      <c r="AO141" s="172">
        <v>52000000</v>
      </c>
      <c r="AP141" s="85"/>
      <c r="AQ141" s="173"/>
      <c r="AR141" s="85"/>
      <c r="AS141" s="173">
        <v>52000000</v>
      </c>
      <c r="AT141" s="82" t="s">
        <v>297</v>
      </c>
      <c r="AU141" s="89">
        <v>45009</v>
      </c>
      <c r="AV141" s="82" t="s">
        <v>74</v>
      </c>
      <c r="AW141" s="89">
        <v>45009</v>
      </c>
      <c r="AX141" s="89">
        <v>45040</v>
      </c>
      <c r="AY141" s="85">
        <v>30</v>
      </c>
      <c r="AZ141" s="172" t="s">
        <v>1244</v>
      </c>
      <c r="BA141" s="85">
        <v>30738603</v>
      </c>
      <c r="BB141" s="172"/>
      <c r="BC141" s="171"/>
      <c r="BD141" s="85"/>
      <c r="BE141" s="171"/>
      <c r="BF141" s="85"/>
      <c r="BG141" s="171"/>
      <c r="BH141" s="172"/>
      <c r="BI141" s="171"/>
      <c r="BJ141" s="172">
        <v>52000000</v>
      </c>
      <c r="BK141" s="85">
        <v>28</v>
      </c>
      <c r="BL141" s="171">
        <v>45068</v>
      </c>
      <c r="BM141" s="171">
        <v>45037</v>
      </c>
      <c r="BN141" s="171"/>
      <c r="BO141" s="85"/>
      <c r="BP141" s="171"/>
      <c r="BQ141" s="171"/>
      <c r="BR141" s="172"/>
      <c r="BS141" s="171"/>
      <c r="BT141" s="82">
        <f>SUM(AY141+BK141+BN141+BQ141)</f>
        <v>58</v>
      </c>
      <c r="BU141" s="171"/>
      <c r="BV141" s="85"/>
    </row>
    <row r="142" spans="1:74" ht="15" customHeight="1" x14ac:dyDescent="0.25">
      <c r="A142" s="134" t="s">
        <v>459</v>
      </c>
      <c r="B142" s="135" t="s">
        <v>460</v>
      </c>
      <c r="C142" s="135" t="s">
        <v>481</v>
      </c>
      <c r="D142" s="73">
        <v>129</v>
      </c>
      <c r="E142" s="45" t="s">
        <v>409</v>
      </c>
      <c r="F142" s="45" t="s">
        <v>1149</v>
      </c>
      <c r="G142" s="73">
        <v>146546</v>
      </c>
      <c r="H142" s="48" t="s">
        <v>771</v>
      </c>
      <c r="I142" s="49">
        <v>45006</v>
      </c>
      <c r="J142" s="45" t="s">
        <v>1124</v>
      </c>
      <c r="K142" s="73" t="s">
        <v>1125</v>
      </c>
      <c r="L142" s="142" t="s">
        <v>768</v>
      </c>
      <c r="M142" s="152" t="s">
        <v>1292</v>
      </c>
      <c r="N142" s="165">
        <v>76111501</v>
      </c>
      <c r="O142" s="170" t="s">
        <v>1142</v>
      </c>
      <c r="P142" s="158">
        <v>119925811</v>
      </c>
      <c r="Q142" s="158">
        <v>119925811</v>
      </c>
      <c r="R142" s="73">
        <v>28623</v>
      </c>
      <c r="S142" s="76" t="s">
        <v>1040</v>
      </c>
      <c r="T142" s="136" t="s">
        <v>64</v>
      </c>
      <c r="U142" s="165" t="s">
        <v>65</v>
      </c>
      <c r="V142" s="45"/>
      <c r="W142" s="137" t="s">
        <v>1293</v>
      </c>
      <c r="X142" s="73" t="s">
        <v>1253</v>
      </c>
      <c r="Y142" s="49">
        <v>45020</v>
      </c>
      <c r="Z142" s="45" t="s">
        <v>1254</v>
      </c>
      <c r="AA142" s="45"/>
      <c r="AB142" s="45" t="s">
        <v>1294</v>
      </c>
      <c r="AC142" s="45" t="s">
        <v>1295</v>
      </c>
      <c r="AD142" s="146" t="s">
        <v>1296</v>
      </c>
      <c r="AE142" s="45">
        <v>900240753</v>
      </c>
      <c r="AF142" s="45">
        <v>1</v>
      </c>
      <c r="AG142" s="45" t="s">
        <v>517</v>
      </c>
      <c r="AH142" s="45"/>
      <c r="AI142" s="45"/>
      <c r="AJ142" s="45"/>
      <c r="AK142" s="45" t="s">
        <v>517</v>
      </c>
      <c r="AL142" s="49" t="s">
        <v>517</v>
      </c>
      <c r="AM142" s="48">
        <v>66723</v>
      </c>
      <c r="AN142" s="49">
        <v>45021</v>
      </c>
      <c r="AO142" s="147">
        <v>113180028.02</v>
      </c>
      <c r="AP142" s="45"/>
      <c r="AQ142" s="51"/>
      <c r="AR142" s="45"/>
      <c r="AS142" s="148">
        <f>SUM(AO142+AP142+AQ142+AR142)</f>
        <v>113180028.02</v>
      </c>
      <c r="AT142" s="73" t="s">
        <v>297</v>
      </c>
      <c r="AU142" s="161">
        <v>45036</v>
      </c>
      <c r="AV142" s="165" t="s">
        <v>74</v>
      </c>
      <c r="AW142" s="49">
        <v>45020</v>
      </c>
      <c r="AX142" s="49">
        <v>45291</v>
      </c>
      <c r="AY142" s="136">
        <f>(AX142-AW142)</f>
        <v>271</v>
      </c>
      <c r="AZ142" s="174" t="s">
        <v>1297</v>
      </c>
      <c r="BA142" s="136">
        <v>27082113</v>
      </c>
      <c r="BB142" s="45"/>
      <c r="BC142" s="45"/>
      <c r="BD142" s="45"/>
      <c r="BE142" s="49"/>
      <c r="BF142" s="45"/>
      <c r="BG142" s="49"/>
      <c r="BH142" s="47"/>
      <c r="BI142" s="45"/>
      <c r="BJ142" s="138">
        <f>SUM(AS142+BB142+BD142+BF142-BH142)</f>
        <v>113180028.02</v>
      </c>
      <c r="BK142" s="49"/>
      <c r="BL142" s="45"/>
      <c r="BM142" s="45"/>
      <c r="BN142" s="49"/>
      <c r="BO142" s="45"/>
      <c r="BP142" s="47"/>
      <c r="BQ142" s="49"/>
      <c r="BR142" s="45"/>
      <c r="BS142" s="49"/>
      <c r="BT142" s="45">
        <f>SUM(AY142+BK142+BN142+BQ142)</f>
        <v>271</v>
      </c>
      <c r="BU142" s="45"/>
      <c r="BV142" s="52"/>
    </row>
    <row r="143" spans="1:74" ht="15" customHeight="1" x14ac:dyDescent="0.25">
      <c r="A143" s="62" t="s">
        <v>459</v>
      </c>
      <c r="B143" s="63" t="s">
        <v>460</v>
      </c>
      <c r="C143" s="64" t="s">
        <v>54</v>
      </c>
      <c r="D143" s="122">
        <v>126</v>
      </c>
      <c r="E143" s="65" t="s">
        <v>221</v>
      </c>
      <c r="F143" s="121" t="s">
        <v>854</v>
      </c>
      <c r="G143" s="175" t="s">
        <v>855</v>
      </c>
      <c r="H143" s="121" t="s">
        <v>771</v>
      </c>
      <c r="I143" s="124">
        <v>45007</v>
      </c>
      <c r="J143" s="121" t="s">
        <v>849</v>
      </c>
      <c r="K143" s="122" t="s">
        <v>856</v>
      </c>
      <c r="L143" s="65" t="s">
        <v>61</v>
      </c>
      <c r="M143" s="125" t="s">
        <v>857</v>
      </c>
      <c r="N143" s="176" t="s">
        <v>858</v>
      </c>
      <c r="O143" s="177" t="s">
        <v>859</v>
      </c>
      <c r="P143" s="176">
        <v>75000000</v>
      </c>
      <c r="Q143" s="176">
        <v>75000000</v>
      </c>
      <c r="R143" s="122">
        <v>25523</v>
      </c>
      <c r="S143" s="122" t="s">
        <v>860</v>
      </c>
      <c r="T143" s="65" t="s">
        <v>516</v>
      </c>
      <c r="U143" s="125" t="s">
        <v>517</v>
      </c>
      <c r="V143" s="121"/>
      <c r="W143" s="123"/>
      <c r="X143" s="122"/>
      <c r="Y143" s="123"/>
      <c r="Z143" s="121"/>
      <c r="AA143" s="121"/>
      <c r="AB143" s="121"/>
      <c r="AC143" s="121"/>
      <c r="AD143" s="121"/>
      <c r="AE143" s="121"/>
      <c r="AF143" s="121"/>
      <c r="AG143" s="121"/>
      <c r="AH143" s="121"/>
      <c r="AI143" s="65"/>
      <c r="AJ143" s="65"/>
      <c r="AK143" s="71"/>
      <c r="AL143" s="129" t="e">
        <f ca="1">+YEAR(TODAY())-YEAR([3]!Tabla1[[#This Row],[FECHA DE NACIMIENTO]])</f>
        <v>#REF!</v>
      </c>
      <c r="AM143" s="65"/>
      <c r="AN143" s="66"/>
      <c r="AO143" s="126"/>
      <c r="AP143" s="121"/>
      <c r="AQ143" s="130"/>
      <c r="AR143" s="121"/>
      <c r="AS143" s="141"/>
      <c r="AT143" s="122"/>
      <c r="AU143" s="175"/>
      <c r="AV143" s="175"/>
      <c r="AW143" s="66"/>
      <c r="AX143" s="66"/>
      <c r="AY143" s="65">
        <f>(AX143-AW143)</f>
        <v>0</v>
      </c>
      <c r="AZ143" s="126"/>
      <c r="BA143" s="65"/>
      <c r="BB143" s="126"/>
      <c r="BC143" s="123"/>
      <c r="BD143" s="121"/>
      <c r="BE143" s="123"/>
      <c r="BF143" s="121"/>
      <c r="BG143" s="123"/>
      <c r="BH143" s="126"/>
      <c r="BI143" s="123"/>
      <c r="BJ143" s="126"/>
      <c r="BK143" s="123"/>
      <c r="BL143" s="123"/>
      <c r="BM143" s="123"/>
      <c r="BN143" s="123"/>
      <c r="BO143" s="121"/>
      <c r="BP143" s="123"/>
      <c r="BQ143" s="123"/>
      <c r="BR143" s="126"/>
      <c r="BS143" s="123"/>
      <c r="BT143" s="121"/>
      <c r="BU143" s="123"/>
      <c r="BV143" s="132"/>
    </row>
    <row r="144" spans="1:74" s="65" customFormat="1" ht="15" customHeight="1" x14ac:dyDescent="0.25">
      <c r="A144" s="178" t="s">
        <v>459</v>
      </c>
      <c r="B144" s="43" t="s">
        <v>460</v>
      </c>
      <c r="C144" s="45" t="s">
        <v>481</v>
      </c>
      <c r="D144" s="48">
        <v>122</v>
      </c>
      <c r="E144" s="45" t="s">
        <v>344</v>
      </c>
      <c r="F144" s="48" t="s">
        <v>1087</v>
      </c>
      <c r="G144" s="48">
        <v>183255</v>
      </c>
      <c r="H144" s="48" t="s">
        <v>771</v>
      </c>
      <c r="I144" s="74">
        <v>45007</v>
      </c>
      <c r="J144" s="45" t="s">
        <v>651</v>
      </c>
      <c r="K144" s="48" t="s">
        <v>1070</v>
      </c>
      <c r="L144" s="45" t="s">
        <v>61</v>
      </c>
      <c r="M144" s="45" t="s">
        <v>1071</v>
      </c>
      <c r="N144" s="56" t="s">
        <v>1072</v>
      </c>
      <c r="O144" s="45" t="s">
        <v>1073</v>
      </c>
      <c r="P144" s="56">
        <v>45000000</v>
      </c>
      <c r="Q144" s="56">
        <v>44999707</v>
      </c>
      <c r="R144" s="48">
        <v>30123</v>
      </c>
      <c r="S144" s="45" t="s">
        <v>1074</v>
      </c>
      <c r="T144" s="48" t="s">
        <v>64</v>
      </c>
      <c r="U144" s="48" t="s">
        <v>65</v>
      </c>
      <c r="V144" s="48"/>
      <c r="W144" s="61" t="s">
        <v>1088</v>
      </c>
      <c r="X144" s="48" t="s">
        <v>997</v>
      </c>
      <c r="Y144" s="49">
        <v>45008</v>
      </c>
      <c r="Z144" s="45" t="s">
        <v>658</v>
      </c>
      <c r="AA144" s="48"/>
      <c r="AB144" s="45" t="s">
        <v>68</v>
      </c>
      <c r="AC144" s="45" t="s">
        <v>69</v>
      </c>
      <c r="AD144" s="48" t="s">
        <v>1089</v>
      </c>
      <c r="AE144" s="48" t="s">
        <v>1090</v>
      </c>
      <c r="AF144" s="48"/>
      <c r="AG144" s="45" t="s">
        <v>517</v>
      </c>
      <c r="AH144" s="45" t="s">
        <v>551</v>
      </c>
      <c r="AI144" s="45"/>
      <c r="AJ144" s="45"/>
      <c r="AK144" s="48"/>
      <c r="AL144" s="58" t="e">
        <f ca="1">+YEAR(TODAY())-YEAR([5]!Tabla1[[#This Row],[FECHA DE NACIMIENTO]])</f>
        <v>#REF!</v>
      </c>
      <c r="AM144" s="48">
        <v>61123</v>
      </c>
      <c r="AN144" s="49">
        <v>45009</v>
      </c>
      <c r="AO144" s="56">
        <v>3232214</v>
      </c>
      <c r="AP144" s="48"/>
      <c r="AQ144" s="59"/>
      <c r="AR144" s="48"/>
      <c r="AS144" s="56">
        <v>3232214</v>
      </c>
      <c r="AT144" s="48" t="s">
        <v>1076</v>
      </c>
      <c r="AU144" s="61" t="s">
        <v>517</v>
      </c>
      <c r="AV144" s="61" t="s">
        <v>517</v>
      </c>
      <c r="AW144" s="49">
        <v>45008</v>
      </c>
      <c r="AX144" s="49">
        <v>45099</v>
      </c>
      <c r="AY144" s="48">
        <v>91</v>
      </c>
      <c r="AZ144" s="56" t="s">
        <v>1091</v>
      </c>
      <c r="BA144" s="48">
        <v>1018409885</v>
      </c>
      <c r="BB144" s="56"/>
      <c r="BC144" s="61"/>
      <c r="BD144" s="48"/>
      <c r="BE144" s="61"/>
      <c r="BF144" s="48"/>
      <c r="BG144" s="61"/>
      <c r="BH144" s="56"/>
      <c r="BI144" s="61"/>
      <c r="BJ144" s="56">
        <v>3232214</v>
      </c>
      <c r="BK144" s="61"/>
      <c r="BL144" s="61"/>
      <c r="BM144" s="61"/>
      <c r="BN144" s="61"/>
      <c r="BO144" s="48"/>
      <c r="BP144" s="61"/>
      <c r="BQ144" s="61"/>
      <c r="BR144" s="56"/>
      <c r="BS144" s="61"/>
      <c r="BT144" s="48">
        <v>91</v>
      </c>
      <c r="BU144" s="61"/>
      <c r="BV144" s="48"/>
    </row>
    <row r="145" spans="1:74" ht="15" customHeight="1" x14ac:dyDescent="0.25">
      <c r="A145" s="42" t="s">
        <v>459</v>
      </c>
      <c r="B145" s="43" t="s">
        <v>460</v>
      </c>
      <c r="C145" s="44" t="s">
        <v>481</v>
      </c>
      <c r="D145" s="48">
        <v>122</v>
      </c>
      <c r="E145" s="45" t="s">
        <v>344</v>
      </c>
      <c r="F145" s="48" t="s">
        <v>1092</v>
      </c>
      <c r="G145" s="76">
        <v>183019</v>
      </c>
      <c r="H145" s="48" t="s">
        <v>771</v>
      </c>
      <c r="I145" s="74">
        <v>45007</v>
      </c>
      <c r="J145" s="45" t="s">
        <v>651</v>
      </c>
      <c r="K145" s="48" t="s">
        <v>1070</v>
      </c>
      <c r="L145" s="45" t="s">
        <v>61</v>
      </c>
      <c r="M145" s="45" t="s">
        <v>1071</v>
      </c>
      <c r="N145" s="56" t="s">
        <v>1072</v>
      </c>
      <c r="O145" s="45" t="s">
        <v>1073</v>
      </c>
      <c r="P145" s="56">
        <v>45000000</v>
      </c>
      <c r="Q145" s="56">
        <v>44999707</v>
      </c>
      <c r="R145" s="48">
        <v>30123</v>
      </c>
      <c r="S145" s="45" t="s">
        <v>1074</v>
      </c>
      <c r="T145" s="48" t="s">
        <v>64</v>
      </c>
      <c r="U145" s="48" t="s">
        <v>65</v>
      </c>
      <c r="V145" s="48"/>
      <c r="W145" s="61" t="s">
        <v>1093</v>
      </c>
      <c r="X145" s="48" t="s">
        <v>997</v>
      </c>
      <c r="Y145" s="49">
        <v>45008</v>
      </c>
      <c r="Z145" s="45" t="s">
        <v>658</v>
      </c>
      <c r="AA145" s="48"/>
      <c r="AB145" s="45" t="s">
        <v>68</v>
      </c>
      <c r="AC145" s="45" t="s">
        <v>69</v>
      </c>
      <c r="AD145" s="48" t="s">
        <v>1094</v>
      </c>
      <c r="AE145" s="48">
        <v>10125834</v>
      </c>
      <c r="AF145" s="48"/>
      <c r="AG145" s="45" t="s">
        <v>517</v>
      </c>
      <c r="AH145" s="45" t="s">
        <v>551</v>
      </c>
      <c r="AI145" s="45"/>
      <c r="AJ145" s="45"/>
      <c r="AK145" s="48"/>
      <c r="AL145" s="58" t="e">
        <f ca="1">+YEAR(TODAY())-YEAR([5]!Tabla1[[#This Row],[FECHA DE NACIMIENTO]])</f>
        <v>#REF!</v>
      </c>
      <c r="AM145" s="48">
        <v>61923</v>
      </c>
      <c r="AN145" s="49">
        <v>45013</v>
      </c>
      <c r="AO145" s="56">
        <v>2945200</v>
      </c>
      <c r="AP145" s="48"/>
      <c r="AQ145" s="59"/>
      <c r="AR145" s="48"/>
      <c r="AS145" s="56">
        <v>2945200</v>
      </c>
      <c r="AT145" s="48" t="s">
        <v>1076</v>
      </c>
      <c r="AU145" s="100" t="s">
        <v>517</v>
      </c>
      <c r="AV145" s="61" t="s">
        <v>517</v>
      </c>
      <c r="AW145" s="49">
        <v>45008</v>
      </c>
      <c r="AX145" s="49">
        <v>45099</v>
      </c>
      <c r="AY145" s="48">
        <v>91</v>
      </c>
      <c r="AZ145" s="56" t="s">
        <v>1091</v>
      </c>
      <c r="BA145" s="48">
        <v>1018409885</v>
      </c>
      <c r="BB145" s="56"/>
      <c r="BC145" s="61"/>
      <c r="BD145" s="48"/>
      <c r="BE145" s="61"/>
      <c r="BF145" s="48"/>
      <c r="BG145" s="61"/>
      <c r="BH145" s="56"/>
      <c r="BI145" s="61"/>
      <c r="BJ145" s="56">
        <v>2945200</v>
      </c>
      <c r="BK145" s="61"/>
      <c r="BL145" s="61"/>
      <c r="BM145" s="61"/>
      <c r="BN145" s="61"/>
      <c r="BO145" s="48"/>
      <c r="BP145" s="61"/>
      <c r="BQ145" s="61"/>
      <c r="BR145" s="56"/>
      <c r="BS145" s="61"/>
      <c r="BT145" s="48">
        <v>91</v>
      </c>
      <c r="BU145" s="61"/>
      <c r="BV145" s="60"/>
    </row>
    <row r="146" spans="1:74" s="65" customFormat="1" ht="15" customHeight="1" x14ac:dyDescent="0.25">
      <c r="A146" s="179" t="s">
        <v>459</v>
      </c>
      <c r="B146" s="135" t="s">
        <v>460</v>
      </c>
      <c r="C146" s="136" t="s">
        <v>481</v>
      </c>
      <c r="D146" s="45">
        <v>266</v>
      </c>
      <c r="E146" s="45" t="s">
        <v>409</v>
      </c>
      <c r="F146" s="45" t="s">
        <v>1137</v>
      </c>
      <c r="G146" s="180">
        <v>146730</v>
      </c>
      <c r="H146" s="48" t="s">
        <v>771</v>
      </c>
      <c r="I146" s="49">
        <v>45007</v>
      </c>
      <c r="J146" s="45" t="s">
        <v>1124</v>
      </c>
      <c r="K146" s="45" t="s">
        <v>1125</v>
      </c>
      <c r="L146" s="142" t="s">
        <v>610</v>
      </c>
      <c r="M146" s="143" t="s">
        <v>1138</v>
      </c>
      <c r="N146" s="136">
        <v>42171917</v>
      </c>
      <c r="O146" s="143" t="s">
        <v>1139</v>
      </c>
      <c r="P146" s="138">
        <v>33500000</v>
      </c>
      <c r="Q146" s="138">
        <v>33500000</v>
      </c>
      <c r="R146" s="48">
        <v>26923</v>
      </c>
      <c r="S146" s="48" t="s">
        <v>1140</v>
      </c>
      <c r="T146" s="136" t="s">
        <v>64</v>
      </c>
      <c r="U146" s="45" t="s">
        <v>65</v>
      </c>
      <c r="V146" s="45"/>
      <c r="W146" s="137">
        <v>107641</v>
      </c>
      <c r="X146" s="45" t="s">
        <v>1253</v>
      </c>
      <c r="Y146" s="49">
        <v>45029</v>
      </c>
      <c r="Z146" s="45" t="s">
        <v>1129</v>
      </c>
      <c r="AA146" s="45"/>
      <c r="AB146" s="136" t="s">
        <v>68</v>
      </c>
      <c r="AC146" s="136" t="s">
        <v>69</v>
      </c>
      <c r="AD146" s="45" t="s">
        <v>1274</v>
      </c>
      <c r="AE146" s="45">
        <v>900349363</v>
      </c>
      <c r="AF146" s="45">
        <v>2</v>
      </c>
      <c r="AG146" s="45" t="s">
        <v>517</v>
      </c>
      <c r="AH146" s="45" t="s">
        <v>551</v>
      </c>
      <c r="AI146" s="45" t="s">
        <v>1275</v>
      </c>
      <c r="AJ146" s="45"/>
      <c r="AK146" s="45" t="s">
        <v>517</v>
      </c>
      <c r="AL146" s="49" t="s">
        <v>517</v>
      </c>
      <c r="AM146" s="48">
        <v>70823</v>
      </c>
      <c r="AN146" s="49">
        <v>45030</v>
      </c>
      <c r="AO146" s="147">
        <v>18221815.34</v>
      </c>
      <c r="AP146" s="45"/>
      <c r="AQ146" s="51"/>
      <c r="AR146" s="45"/>
      <c r="AS146" s="148">
        <f>SUM(AO146+AP146+AQ146+AR146)</f>
        <v>18221815.34</v>
      </c>
      <c r="AT146" s="45" t="s">
        <v>297</v>
      </c>
      <c r="AU146" s="49">
        <v>45030</v>
      </c>
      <c r="AV146" s="136" t="s">
        <v>74</v>
      </c>
      <c r="AW146" s="49">
        <v>45030</v>
      </c>
      <c r="AX146" s="49">
        <v>45119</v>
      </c>
      <c r="AY146" s="45">
        <f>(AX146-AW146)</f>
        <v>89</v>
      </c>
      <c r="AZ146" s="47" t="s">
        <v>1131</v>
      </c>
      <c r="BA146" s="136">
        <v>22789760</v>
      </c>
      <c r="BB146" s="45"/>
      <c r="BC146" s="45"/>
      <c r="BD146" s="45"/>
      <c r="BE146" s="49"/>
      <c r="BF146" s="45"/>
      <c r="BG146" s="49"/>
      <c r="BH146" s="47"/>
      <c r="BI146" s="45"/>
      <c r="BJ146" s="138">
        <f>SUM(AS146+BB146+BD146+BF146-BH146)</f>
        <v>18221815.34</v>
      </c>
      <c r="BK146" s="49"/>
      <c r="BL146" s="45"/>
      <c r="BM146" s="45"/>
      <c r="BN146" s="49"/>
      <c r="BO146" s="45"/>
      <c r="BP146" s="47"/>
      <c r="BQ146" s="49"/>
      <c r="BR146" s="45"/>
      <c r="BS146" s="49"/>
      <c r="BT146" s="45">
        <f>SUM(AY146+BK146+BN146+BQ146)</f>
        <v>89</v>
      </c>
      <c r="BU146" s="45"/>
      <c r="BV146" s="45"/>
    </row>
    <row r="147" spans="1:74" s="82" customFormat="1" ht="15" customHeight="1" x14ac:dyDescent="0.25">
      <c r="A147" s="181" t="s">
        <v>459</v>
      </c>
      <c r="B147" s="80" t="s">
        <v>460</v>
      </c>
      <c r="C147" s="82" t="s">
        <v>481</v>
      </c>
      <c r="D147" s="82">
        <v>42</v>
      </c>
      <c r="E147" s="82" t="s">
        <v>55</v>
      </c>
      <c r="F147" s="82" t="s">
        <v>779</v>
      </c>
      <c r="G147" s="85">
        <v>146961</v>
      </c>
      <c r="H147" s="82" t="s">
        <v>771</v>
      </c>
      <c r="I147" s="182">
        <v>45008</v>
      </c>
      <c r="J147" s="82" t="s">
        <v>492</v>
      </c>
      <c r="K147" s="82" t="s">
        <v>508</v>
      </c>
      <c r="L147" s="85" t="s">
        <v>250</v>
      </c>
      <c r="M147" s="82" t="s">
        <v>780</v>
      </c>
      <c r="N147" s="85">
        <v>81111811</v>
      </c>
      <c r="O147" s="85" t="s">
        <v>781</v>
      </c>
      <c r="P147" s="172">
        <v>4019895748</v>
      </c>
      <c r="Q147" s="172">
        <v>4019860837.5999999</v>
      </c>
      <c r="R147" s="85">
        <v>26023</v>
      </c>
      <c r="S147" s="85" t="s">
        <v>89</v>
      </c>
      <c r="T147" s="82" t="s">
        <v>64</v>
      </c>
      <c r="U147" s="82" t="s">
        <v>65</v>
      </c>
      <c r="V147" s="85"/>
      <c r="W147" s="85" t="s">
        <v>1180</v>
      </c>
      <c r="X147" s="85" t="s">
        <v>1159</v>
      </c>
      <c r="Y147" s="84">
        <v>45033</v>
      </c>
      <c r="Z147" s="85" t="s">
        <v>818</v>
      </c>
      <c r="AA147" s="85"/>
      <c r="AB147" s="82" t="s">
        <v>68</v>
      </c>
      <c r="AC147" s="82" t="s">
        <v>69</v>
      </c>
      <c r="AD147" s="85" t="s">
        <v>1181</v>
      </c>
      <c r="AE147" s="85">
        <v>900011395</v>
      </c>
      <c r="AF147" s="85">
        <v>6</v>
      </c>
      <c r="AG147" s="85"/>
      <c r="AH147" s="85"/>
      <c r="AK147" s="85"/>
      <c r="AL147" s="183">
        <f ca="1">+YEAR(TODAY())-YEAR(Tabla13[[#This Row],[FECHA DE NACIMIENTO]])</f>
        <v>123</v>
      </c>
      <c r="AM147" s="85">
        <v>71823</v>
      </c>
      <c r="AN147" s="171">
        <v>45033</v>
      </c>
      <c r="AO147" s="86">
        <v>2499999979.2199998</v>
      </c>
      <c r="AP147" s="85"/>
      <c r="AQ147" s="85"/>
      <c r="AR147" s="85"/>
      <c r="AS147" s="184">
        <f>SUM(AO147+AP147+AQ147+AR147)</f>
        <v>2499999979.2199998</v>
      </c>
      <c r="AT147" s="82" t="s">
        <v>297</v>
      </c>
      <c r="AU147" s="171">
        <v>45034</v>
      </c>
      <c r="AV147" s="82" t="s">
        <v>727</v>
      </c>
      <c r="AW147" s="171">
        <v>45048</v>
      </c>
      <c r="AX147" s="89">
        <v>45291</v>
      </c>
      <c r="AY147" s="82">
        <f>(AX147-AW147)</f>
        <v>243</v>
      </c>
      <c r="AZ147" s="85" t="s">
        <v>1182</v>
      </c>
      <c r="BA147" s="85">
        <v>52836662</v>
      </c>
      <c r="BB147" s="172"/>
      <c r="BC147" s="171"/>
      <c r="BD147" s="85"/>
      <c r="BE147" s="85"/>
      <c r="BF147" s="85"/>
      <c r="BG147" s="171"/>
      <c r="BH147" s="85"/>
      <c r="BI147" s="171"/>
      <c r="BJ147" s="172"/>
      <c r="BK147" s="85"/>
      <c r="BL147" s="171"/>
      <c r="BM147" s="171"/>
      <c r="BN147" s="85"/>
      <c r="BO147" s="85"/>
      <c r="BP147" s="171"/>
      <c r="BQ147" s="85"/>
      <c r="BR147" s="172"/>
      <c r="BS147" s="171"/>
      <c r="BT147" s="85"/>
      <c r="BU147" s="171"/>
      <c r="BV147" s="85"/>
    </row>
    <row r="148" spans="1:74" s="65" customFormat="1" ht="15" customHeight="1" x14ac:dyDescent="0.25">
      <c r="A148" s="178" t="s">
        <v>459</v>
      </c>
      <c r="B148" s="43" t="s">
        <v>460</v>
      </c>
      <c r="C148" s="45" t="s">
        <v>54</v>
      </c>
      <c r="D148" s="48">
        <v>208</v>
      </c>
      <c r="E148" s="48" t="s">
        <v>345</v>
      </c>
      <c r="F148" s="48" t="s">
        <v>955</v>
      </c>
      <c r="G148" s="61" t="s">
        <v>956</v>
      </c>
      <c r="H148" s="48" t="s">
        <v>771</v>
      </c>
      <c r="I148" s="77">
        <v>45008</v>
      </c>
      <c r="J148" s="48" t="s">
        <v>59</v>
      </c>
      <c r="K148" s="48" t="s">
        <v>290</v>
      </c>
      <c r="L148" s="48" t="s">
        <v>340</v>
      </c>
      <c r="M148" s="48" t="s">
        <v>957</v>
      </c>
      <c r="N148" s="48" t="s">
        <v>958</v>
      </c>
      <c r="O148" s="56" t="s">
        <v>959</v>
      </c>
      <c r="P148" s="56">
        <v>30000000</v>
      </c>
      <c r="Q148" s="56">
        <v>30000000</v>
      </c>
      <c r="R148" s="48">
        <v>28723</v>
      </c>
      <c r="S148" s="48" t="s">
        <v>960</v>
      </c>
      <c r="T148" s="48" t="s">
        <v>64</v>
      </c>
      <c r="U148" s="48" t="s">
        <v>65</v>
      </c>
      <c r="V148" s="48" t="s">
        <v>517</v>
      </c>
      <c r="W148" s="61" t="s">
        <v>961</v>
      </c>
      <c r="X148" s="45" t="s">
        <v>771</v>
      </c>
      <c r="Y148" s="61">
        <v>45013</v>
      </c>
      <c r="Z148" s="48" t="s">
        <v>60</v>
      </c>
      <c r="AA148" s="48"/>
      <c r="AB148" s="48" t="s">
        <v>295</v>
      </c>
      <c r="AC148" s="48" t="s">
        <v>69</v>
      </c>
      <c r="AD148" s="48" t="s">
        <v>962</v>
      </c>
      <c r="AE148" s="48">
        <v>52966252</v>
      </c>
      <c r="AF148" s="48" t="s">
        <v>517</v>
      </c>
      <c r="AG148" s="48" t="s">
        <v>963</v>
      </c>
      <c r="AH148" s="48"/>
      <c r="AI148" s="45"/>
      <c r="AJ148" s="45"/>
      <c r="AK148" s="61">
        <v>30627</v>
      </c>
      <c r="AL148" s="58" t="e">
        <f ca="1">+YEAR(TODAY())-YEAR([6]!Tabla1[[#This Row],[FECHA DE NACIMIENTO]])</f>
        <v>#REF!</v>
      </c>
      <c r="AM148" s="45">
        <v>63123</v>
      </c>
      <c r="AN148" s="61">
        <v>45014</v>
      </c>
      <c r="AO148" s="56">
        <v>30000000</v>
      </c>
      <c r="AP148" s="48"/>
      <c r="AQ148" s="59"/>
      <c r="AR148" s="48"/>
      <c r="AS148" s="59">
        <v>30000000</v>
      </c>
      <c r="AT148" s="48" t="s">
        <v>297</v>
      </c>
      <c r="AU148" s="61">
        <v>45016</v>
      </c>
      <c r="AV148" s="61" t="s">
        <v>74</v>
      </c>
      <c r="AW148" s="61">
        <v>45017</v>
      </c>
      <c r="AX148" s="61">
        <v>45291</v>
      </c>
      <c r="AY148" s="45">
        <f>(AX148-AW148)</f>
        <v>274</v>
      </c>
      <c r="AZ148" s="56" t="s">
        <v>964</v>
      </c>
      <c r="BA148" s="45">
        <v>79994053</v>
      </c>
      <c r="BB148" s="56"/>
      <c r="BC148" s="61"/>
      <c r="BD148" s="48"/>
      <c r="BE148" s="61"/>
      <c r="BF148" s="48"/>
      <c r="BG148" s="61"/>
      <c r="BH148" s="56"/>
      <c r="BI148" s="61"/>
      <c r="BJ148" s="47" t="e">
        <f>([6]!Tabla1[[#This Row],[VALOR TOTAL CONTRATO + VF]]+[6]!Tabla1[[#This Row],[ADICION 1 ]]+[6]!Tabla1[[#This Row],[ADICION 2]]-[6]!Tabla1[[#This Row],[LIBERACION]])</f>
        <v>#REF!</v>
      </c>
      <c r="BK148" s="61"/>
      <c r="BL148" s="61"/>
      <c r="BM148" s="61"/>
      <c r="BN148" s="61"/>
      <c r="BO148" s="48"/>
      <c r="BP148" s="61"/>
      <c r="BQ148" s="61"/>
      <c r="BR148" s="56"/>
      <c r="BS148" s="61"/>
      <c r="BT148" s="48">
        <f>SUM(AY148+BK148+BN148+BQ148)</f>
        <v>274</v>
      </c>
      <c r="BU148" s="61"/>
      <c r="BV148" s="48"/>
    </row>
    <row r="149" spans="1:74" ht="15" customHeight="1" x14ac:dyDescent="0.25">
      <c r="A149" s="134" t="s">
        <v>459</v>
      </c>
      <c r="B149" s="135" t="s">
        <v>460</v>
      </c>
      <c r="C149" s="135" t="s">
        <v>481</v>
      </c>
      <c r="D149" s="45">
        <v>202</v>
      </c>
      <c r="E149" s="45" t="s">
        <v>344</v>
      </c>
      <c r="F149" s="45" t="s">
        <v>1095</v>
      </c>
      <c r="G149" s="50">
        <v>147073</v>
      </c>
      <c r="H149" s="48" t="s">
        <v>771</v>
      </c>
      <c r="I149" s="49">
        <v>45008</v>
      </c>
      <c r="J149" s="73" t="s">
        <v>1124</v>
      </c>
      <c r="K149" s="45" t="s">
        <v>1125</v>
      </c>
      <c r="L149" s="142" t="s">
        <v>768</v>
      </c>
      <c r="M149" s="143" t="s">
        <v>1334</v>
      </c>
      <c r="N149" s="136">
        <v>43233200</v>
      </c>
      <c r="O149" s="185" t="s">
        <v>1335</v>
      </c>
      <c r="P149" s="145">
        <v>68613302.739999995</v>
      </c>
      <c r="Q149" s="145">
        <v>68613302.739999995</v>
      </c>
      <c r="R149" s="45">
        <v>28923</v>
      </c>
      <c r="S149" s="45" t="s">
        <v>294</v>
      </c>
      <c r="T149" s="136" t="s">
        <v>64</v>
      </c>
      <c r="U149" s="136" t="s">
        <v>65</v>
      </c>
      <c r="V149" s="45"/>
      <c r="W149" s="137">
        <v>107932</v>
      </c>
      <c r="X149" s="45" t="s">
        <v>1253</v>
      </c>
      <c r="Y149" s="49">
        <v>45034</v>
      </c>
      <c r="Z149" s="73" t="s">
        <v>1129</v>
      </c>
      <c r="AA149" s="45"/>
      <c r="AB149" s="136" t="s">
        <v>68</v>
      </c>
      <c r="AC149" s="136" t="s">
        <v>69</v>
      </c>
      <c r="AD149" s="45" t="s">
        <v>1336</v>
      </c>
      <c r="AE149" s="45">
        <v>830084433</v>
      </c>
      <c r="AF149" s="45">
        <v>7</v>
      </c>
      <c r="AG149" s="45" t="s">
        <v>517</v>
      </c>
      <c r="AH149" s="45"/>
      <c r="AI149" s="45"/>
      <c r="AJ149" s="45"/>
      <c r="AK149" s="45" t="s">
        <v>517</v>
      </c>
      <c r="AL149" s="49" t="s">
        <v>517</v>
      </c>
      <c r="AM149" s="48">
        <v>73423</v>
      </c>
      <c r="AN149" s="49">
        <v>45036</v>
      </c>
      <c r="AO149" s="147">
        <v>3391910.55</v>
      </c>
      <c r="AP149" s="45"/>
      <c r="AQ149" s="51"/>
      <c r="AR149" s="45"/>
      <c r="AS149" s="148">
        <f>SUM(AO149+AP149+AQ149+AR149)</f>
        <v>3391910.55</v>
      </c>
      <c r="AT149" s="45" t="s">
        <v>297</v>
      </c>
      <c r="AU149" s="49"/>
      <c r="AV149" s="136" t="s">
        <v>74</v>
      </c>
      <c r="AW149" s="49">
        <v>45034</v>
      </c>
      <c r="AX149" s="49">
        <v>45119</v>
      </c>
      <c r="AY149" s="45">
        <f>(AX149-AW149)</f>
        <v>85</v>
      </c>
      <c r="AZ149" s="47" t="s">
        <v>1337</v>
      </c>
      <c r="BA149" s="136">
        <v>79717103</v>
      </c>
      <c r="BB149" s="45"/>
      <c r="BC149" s="45"/>
      <c r="BD149" s="45"/>
      <c r="BE149" s="49"/>
      <c r="BF149" s="45"/>
      <c r="BG149" s="49"/>
      <c r="BH149" s="47"/>
      <c r="BI149" s="45"/>
      <c r="BJ149" s="138">
        <f>SUM(AS149+BB149+BD149+BF149-BH149)</f>
        <v>3391910.55</v>
      </c>
      <c r="BK149" s="49"/>
      <c r="BL149" s="45"/>
      <c r="BM149" s="45"/>
      <c r="BN149" s="49"/>
      <c r="BO149" s="45"/>
      <c r="BP149" s="47"/>
      <c r="BQ149" s="49"/>
      <c r="BR149" s="45"/>
      <c r="BS149" s="49"/>
      <c r="BT149" s="45">
        <f>SUM(AY149+BK149+BN149+BQ149)</f>
        <v>85</v>
      </c>
      <c r="BU149" s="45"/>
      <c r="BV149" s="52"/>
    </row>
    <row r="150" spans="1:74" ht="15" customHeight="1" x14ac:dyDescent="0.25">
      <c r="A150" s="42" t="s">
        <v>459</v>
      </c>
      <c r="B150" s="43" t="s">
        <v>460</v>
      </c>
      <c r="C150" s="44" t="s">
        <v>481</v>
      </c>
      <c r="D150" s="76">
        <v>202</v>
      </c>
      <c r="E150" s="45" t="s">
        <v>344</v>
      </c>
      <c r="F150" s="76" t="s">
        <v>1100</v>
      </c>
      <c r="G150" s="76">
        <v>147076</v>
      </c>
      <c r="H150" s="48" t="s">
        <v>771</v>
      </c>
      <c r="I150" s="74">
        <v>45008</v>
      </c>
      <c r="J150" s="73" t="s">
        <v>1096</v>
      </c>
      <c r="K150" s="76" t="s">
        <v>1097</v>
      </c>
      <c r="L150" s="45" t="s">
        <v>61</v>
      </c>
      <c r="M150" s="73" t="s">
        <v>1098</v>
      </c>
      <c r="N150" s="76">
        <v>432332</v>
      </c>
      <c r="O150" s="97" t="s">
        <v>1099</v>
      </c>
      <c r="P150" s="97">
        <v>250000000</v>
      </c>
      <c r="Q150" s="97">
        <v>68613302.739999995</v>
      </c>
      <c r="R150" s="76">
        <v>28923</v>
      </c>
      <c r="S150" s="76" t="s">
        <v>294</v>
      </c>
      <c r="T150" s="48" t="s">
        <v>448</v>
      </c>
      <c r="U150" s="76" t="s">
        <v>517</v>
      </c>
      <c r="V150" s="76"/>
      <c r="W150" s="100"/>
      <c r="X150" s="76"/>
      <c r="Y150" s="61"/>
      <c r="Z150" s="73" t="s">
        <v>1096</v>
      </c>
      <c r="AA150" s="76"/>
      <c r="AB150" s="73" t="s">
        <v>68</v>
      </c>
      <c r="AC150" s="73" t="s">
        <v>69</v>
      </c>
      <c r="AD150" s="76"/>
      <c r="AE150" s="76"/>
      <c r="AF150" s="76"/>
      <c r="AG150" s="45" t="s">
        <v>517</v>
      </c>
      <c r="AH150" s="45" t="s">
        <v>551</v>
      </c>
      <c r="AI150" s="73"/>
      <c r="AJ150" s="73"/>
      <c r="AK150" s="76"/>
      <c r="AL150" s="58" t="e">
        <f ca="1">+YEAR(TODAY())-YEAR([5]!Tabla1[[#This Row],[FECHA DE NACIMIENTO]])</f>
        <v>#REF!</v>
      </c>
      <c r="AM150" s="97"/>
      <c r="AN150" s="61"/>
      <c r="AO150" s="97"/>
      <c r="AP150" s="76"/>
      <c r="AQ150" s="168"/>
      <c r="AR150" s="76"/>
      <c r="AS150" s="101"/>
      <c r="AT150" s="48"/>
      <c r="AU150" s="61"/>
      <c r="AV150" s="169"/>
      <c r="AW150" s="61"/>
      <c r="AX150" s="61"/>
      <c r="AY150" s="76"/>
      <c r="AZ150" s="97"/>
      <c r="BA150" s="100"/>
      <c r="BB150" s="97"/>
      <c r="BC150" s="100"/>
      <c r="BD150" s="76"/>
      <c r="BE150" s="100"/>
      <c r="BF150" s="76"/>
      <c r="BG150" s="100"/>
      <c r="BH150" s="97"/>
      <c r="BI150" s="100"/>
      <c r="BJ150" s="97"/>
      <c r="BK150" s="100"/>
      <c r="BL150" s="100"/>
      <c r="BM150" s="100"/>
      <c r="BN150" s="100"/>
      <c r="BO150" s="76"/>
      <c r="BP150" s="100"/>
      <c r="BQ150" s="100"/>
      <c r="BR150" s="97"/>
      <c r="BS150" s="100"/>
      <c r="BT150" s="48"/>
      <c r="BU150" s="100"/>
      <c r="BV150" s="102"/>
    </row>
    <row r="151" spans="1:74" ht="15" customHeight="1" x14ac:dyDescent="0.25">
      <c r="A151" s="179" t="s">
        <v>459</v>
      </c>
      <c r="B151" s="135" t="s">
        <v>460</v>
      </c>
      <c r="C151" s="136" t="s">
        <v>481</v>
      </c>
      <c r="D151" s="186">
        <v>202</v>
      </c>
      <c r="E151" s="45" t="s">
        <v>344</v>
      </c>
      <c r="F151" s="45" t="s">
        <v>1338</v>
      </c>
      <c r="G151" s="50">
        <v>147076</v>
      </c>
      <c r="H151" s="48" t="s">
        <v>771</v>
      </c>
      <c r="I151" s="49">
        <v>45008</v>
      </c>
      <c r="J151" s="187" t="s">
        <v>1124</v>
      </c>
      <c r="K151" s="45" t="s">
        <v>1125</v>
      </c>
      <c r="L151" s="142" t="s">
        <v>768</v>
      </c>
      <c r="M151" s="143" t="s">
        <v>1334</v>
      </c>
      <c r="N151" s="136">
        <v>43233200</v>
      </c>
      <c r="O151" s="185" t="s">
        <v>1335</v>
      </c>
      <c r="P151" s="145">
        <v>68613302.739999995</v>
      </c>
      <c r="Q151" s="145">
        <v>68613302.739999995</v>
      </c>
      <c r="R151" s="45">
        <v>28923</v>
      </c>
      <c r="S151" s="45" t="s">
        <v>294</v>
      </c>
      <c r="T151" s="136" t="s">
        <v>64</v>
      </c>
      <c r="U151" s="136" t="s">
        <v>65</v>
      </c>
      <c r="V151" s="45"/>
      <c r="W151" s="137">
        <v>107934</v>
      </c>
      <c r="X151" s="45" t="s">
        <v>1253</v>
      </c>
      <c r="Y151" s="49">
        <v>45034</v>
      </c>
      <c r="Z151" s="45" t="s">
        <v>1129</v>
      </c>
      <c r="AA151" s="45"/>
      <c r="AB151" s="136" t="s">
        <v>68</v>
      </c>
      <c r="AC151" s="136" t="s">
        <v>69</v>
      </c>
      <c r="AD151" s="45" t="s">
        <v>1339</v>
      </c>
      <c r="AE151" s="45">
        <v>900204272</v>
      </c>
      <c r="AF151" s="45">
        <v>8</v>
      </c>
      <c r="AG151" s="45" t="s">
        <v>517</v>
      </c>
      <c r="AH151" s="45"/>
      <c r="AI151" s="45"/>
      <c r="AJ151" s="45"/>
      <c r="AK151" s="45" t="s">
        <v>517</v>
      </c>
      <c r="AL151" s="49" t="s">
        <v>517</v>
      </c>
      <c r="AM151" s="188" t="s">
        <v>1340</v>
      </c>
      <c r="AN151" s="49">
        <v>45035</v>
      </c>
      <c r="AO151" s="147">
        <v>3821479.37</v>
      </c>
      <c r="AP151" s="45"/>
      <c r="AQ151" s="51"/>
      <c r="AR151" s="45"/>
      <c r="AS151" s="148">
        <f>SUM(AO151+AP151+AQ151+AR151)</f>
        <v>3821479.37</v>
      </c>
      <c r="AT151" s="45" t="s">
        <v>297</v>
      </c>
      <c r="AU151" s="49"/>
      <c r="AV151" s="136" t="s">
        <v>74</v>
      </c>
      <c r="AW151" s="49">
        <v>45034</v>
      </c>
      <c r="AX151" s="49">
        <v>45119</v>
      </c>
      <c r="AY151" s="45">
        <f t="shared" ref="AY151:AY161" si="16">(AX151-AW151)</f>
        <v>85</v>
      </c>
      <c r="AZ151" s="47" t="s">
        <v>1341</v>
      </c>
      <c r="BA151" s="136">
        <v>55223374</v>
      </c>
      <c r="BB151" s="45"/>
      <c r="BC151" s="45"/>
      <c r="BD151" s="45"/>
      <c r="BE151" s="49"/>
      <c r="BF151" s="45"/>
      <c r="BG151" s="49"/>
      <c r="BH151" s="47"/>
      <c r="BI151" s="45"/>
      <c r="BJ151" s="138">
        <f t="shared" ref="BJ151:BJ160" si="17">SUM(AS151+BB151+BD151+BF151-BH151)</f>
        <v>3821479.37</v>
      </c>
      <c r="BK151" s="49"/>
      <c r="BL151" s="45"/>
      <c r="BM151" s="45"/>
      <c r="BN151" s="49"/>
      <c r="BO151" s="45"/>
      <c r="BP151" s="47"/>
      <c r="BQ151" s="49"/>
      <c r="BR151" s="45"/>
      <c r="BS151" s="49"/>
      <c r="BT151" s="45">
        <f t="shared" ref="BT151:BT160" si="18">SUM(AY151+BK151+BN151+BQ151)</f>
        <v>85</v>
      </c>
      <c r="BU151" s="45"/>
      <c r="BV151" s="52"/>
    </row>
    <row r="152" spans="1:74" s="65" customFormat="1" ht="15" customHeight="1" x14ac:dyDescent="0.25">
      <c r="A152" s="179" t="s">
        <v>459</v>
      </c>
      <c r="B152" s="135" t="s">
        <v>460</v>
      </c>
      <c r="C152" s="136" t="s">
        <v>481</v>
      </c>
      <c r="D152" s="45">
        <v>202</v>
      </c>
      <c r="E152" s="45" t="s">
        <v>344</v>
      </c>
      <c r="F152" s="45" t="s">
        <v>1342</v>
      </c>
      <c r="G152" s="50">
        <v>147086</v>
      </c>
      <c r="H152" s="48" t="s">
        <v>771</v>
      </c>
      <c r="I152" s="49">
        <v>45008</v>
      </c>
      <c r="J152" s="45" t="s">
        <v>1124</v>
      </c>
      <c r="K152" s="45" t="s">
        <v>1125</v>
      </c>
      <c r="L152" s="142" t="s">
        <v>768</v>
      </c>
      <c r="M152" s="143" t="s">
        <v>1334</v>
      </c>
      <c r="N152" s="136">
        <v>43233200</v>
      </c>
      <c r="O152" s="185" t="s">
        <v>1335</v>
      </c>
      <c r="P152" s="145">
        <v>68613302.739999995</v>
      </c>
      <c r="Q152" s="145">
        <v>68613302.739999995</v>
      </c>
      <c r="R152" s="45">
        <v>28923</v>
      </c>
      <c r="S152" s="45" t="s">
        <v>294</v>
      </c>
      <c r="T152" s="136" t="s">
        <v>64</v>
      </c>
      <c r="U152" s="136" t="s">
        <v>65</v>
      </c>
      <c r="V152" s="45"/>
      <c r="W152" s="137">
        <v>108173</v>
      </c>
      <c r="X152" s="45" t="s">
        <v>1253</v>
      </c>
      <c r="Y152" s="49">
        <v>45037</v>
      </c>
      <c r="Z152" s="45" t="s">
        <v>1129</v>
      </c>
      <c r="AA152" s="45"/>
      <c r="AB152" s="136" t="s">
        <v>68</v>
      </c>
      <c r="AC152" s="136" t="s">
        <v>69</v>
      </c>
      <c r="AD152" s="45" t="s">
        <v>1339</v>
      </c>
      <c r="AE152" s="45">
        <v>900204272</v>
      </c>
      <c r="AF152" s="45">
        <v>8</v>
      </c>
      <c r="AG152" s="45" t="s">
        <v>517</v>
      </c>
      <c r="AH152" s="45"/>
      <c r="AI152" s="45"/>
      <c r="AJ152" s="45"/>
      <c r="AK152" s="45" t="s">
        <v>517</v>
      </c>
      <c r="AL152" s="49" t="s">
        <v>517</v>
      </c>
      <c r="AM152" s="50">
        <v>75323</v>
      </c>
      <c r="AN152" s="49">
        <v>45037</v>
      </c>
      <c r="AO152" s="147">
        <v>6027350</v>
      </c>
      <c r="AP152" s="45"/>
      <c r="AQ152" s="51"/>
      <c r="AR152" s="45"/>
      <c r="AS152" s="148">
        <f>SUM(AO152+AP152+AQ152+AR152)</f>
        <v>6027350</v>
      </c>
      <c r="AT152" s="45" t="s">
        <v>297</v>
      </c>
      <c r="AU152" s="49"/>
      <c r="AV152" s="136" t="s">
        <v>74</v>
      </c>
      <c r="AW152" s="49">
        <v>45037</v>
      </c>
      <c r="AX152" s="49">
        <v>45119</v>
      </c>
      <c r="AY152" s="45">
        <f t="shared" si="16"/>
        <v>82</v>
      </c>
      <c r="AZ152" s="47" t="s">
        <v>1341</v>
      </c>
      <c r="BA152" s="136">
        <v>55223374</v>
      </c>
      <c r="BB152" s="45"/>
      <c r="BC152" s="45"/>
      <c r="BD152" s="45"/>
      <c r="BE152" s="49"/>
      <c r="BF152" s="45"/>
      <c r="BG152" s="49"/>
      <c r="BH152" s="47"/>
      <c r="BI152" s="45"/>
      <c r="BJ152" s="138">
        <f t="shared" si="17"/>
        <v>6027350</v>
      </c>
      <c r="BK152" s="49"/>
      <c r="BL152" s="45"/>
      <c r="BM152" s="45"/>
      <c r="BN152" s="49"/>
      <c r="BO152" s="45"/>
      <c r="BP152" s="47"/>
      <c r="BQ152" s="49"/>
      <c r="BR152" s="45"/>
      <c r="BS152" s="49"/>
      <c r="BT152" s="45">
        <f t="shared" si="18"/>
        <v>82</v>
      </c>
      <c r="BU152" s="45"/>
      <c r="BV152" s="45"/>
    </row>
    <row r="153" spans="1:74" s="65" customFormat="1" ht="15" customHeight="1" x14ac:dyDescent="0.25">
      <c r="A153" s="179" t="s">
        <v>459</v>
      </c>
      <c r="B153" s="135" t="s">
        <v>460</v>
      </c>
      <c r="C153" s="136" t="s">
        <v>481</v>
      </c>
      <c r="D153" s="45">
        <v>202</v>
      </c>
      <c r="E153" s="45" t="s">
        <v>344</v>
      </c>
      <c r="F153" s="45" t="s">
        <v>1101</v>
      </c>
      <c r="G153" s="50">
        <v>147082</v>
      </c>
      <c r="H153" s="48" t="s">
        <v>771</v>
      </c>
      <c r="I153" s="49">
        <v>45008</v>
      </c>
      <c r="J153" s="45" t="s">
        <v>1124</v>
      </c>
      <c r="K153" s="45" t="s">
        <v>1125</v>
      </c>
      <c r="L153" s="142" t="s">
        <v>768</v>
      </c>
      <c r="M153" s="143" t="s">
        <v>1334</v>
      </c>
      <c r="N153" s="136">
        <v>43233200</v>
      </c>
      <c r="O153" s="185" t="s">
        <v>1335</v>
      </c>
      <c r="P153" s="145">
        <v>68613302.739999995</v>
      </c>
      <c r="Q153" s="145">
        <v>68613302.739999995</v>
      </c>
      <c r="R153" s="45">
        <v>28923</v>
      </c>
      <c r="S153" s="45" t="s">
        <v>294</v>
      </c>
      <c r="T153" s="136" t="s">
        <v>64</v>
      </c>
      <c r="U153" s="136" t="s">
        <v>65</v>
      </c>
      <c r="V153" s="45"/>
      <c r="W153" s="137">
        <v>108355</v>
      </c>
      <c r="X153" s="45" t="s">
        <v>1253</v>
      </c>
      <c r="Y153" s="49">
        <v>45041</v>
      </c>
      <c r="Z153" s="45" t="s">
        <v>1129</v>
      </c>
      <c r="AA153" s="45"/>
      <c r="AB153" s="136" t="s">
        <v>68</v>
      </c>
      <c r="AC153" s="136" t="s">
        <v>69</v>
      </c>
      <c r="AD153" s="45" t="s">
        <v>1339</v>
      </c>
      <c r="AE153" s="45">
        <v>900204272</v>
      </c>
      <c r="AF153" s="45">
        <v>8</v>
      </c>
      <c r="AG153" s="45" t="s">
        <v>517</v>
      </c>
      <c r="AH153" s="45"/>
      <c r="AI153" s="45"/>
      <c r="AJ153" s="45"/>
      <c r="AK153" s="45" t="s">
        <v>517</v>
      </c>
      <c r="AL153" s="49" t="s">
        <v>517</v>
      </c>
      <c r="AM153" s="50">
        <v>76823</v>
      </c>
      <c r="AN153" s="49">
        <v>45041</v>
      </c>
      <c r="AO153" s="147">
        <v>2871742.03</v>
      </c>
      <c r="AP153" s="45"/>
      <c r="AQ153" s="51"/>
      <c r="AR153" s="45"/>
      <c r="AS153" s="148">
        <f>SUM(AO153+AP153+AQ153+AR153)</f>
        <v>2871742.03</v>
      </c>
      <c r="AT153" s="45" t="s">
        <v>297</v>
      </c>
      <c r="AU153" s="49"/>
      <c r="AV153" s="136" t="s">
        <v>74</v>
      </c>
      <c r="AW153" s="49">
        <v>45041</v>
      </c>
      <c r="AX153" s="49">
        <v>45119</v>
      </c>
      <c r="AY153" s="45">
        <f t="shared" si="16"/>
        <v>78</v>
      </c>
      <c r="AZ153" s="47" t="s">
        <v>1343</v>
      </c>
      <c r="BA153" s="136">
        <v>46668764</v>
      </c>
      <c r="BB153" s="45"/>
      <c r="BC153" s="45"/>
      <c r="BD153" s="45"/>
      <c r="BE153" s="49"/>
      <c r="BF153" s="45"/>
      <c r="BG153" s="49"/>
      <c r="BH153" s="47"/>
      <c r="BI153" s="45"/>
      <c r="BJ153" s="138">
        <f t="shared" si="17"/>
        <v>2871742.03</v>
      </c>
      <c r="BK153" s="49"/>
      <c r="BL153" s="45"/>
      <c r="BM153" s="45"/>
      <c r="BN153" s="49"/>
      <c r="BO153" s="45"/>
      <c r="BP153" s="47"/>
      <c r="BQ153" s="49"/>
      <c r="BR153" s="45"/>
      <c r="BS153" s="49"/>
      <c r="BT153" s="45">
        <f t="shared" si="18"/>
        <v>78</v>
      </c>
      <c r="BU153" s="45"/>
      <c r="BV153" s="45"/>
    </row>
    <row r="154" spans="1:74" s="65" customFormat="1" ht="15" customHeight="1" x14ac:dyDescent="0.25">
      <c r="A154" s="179" t="s">
        <v>459</v>
      </c>
      <c r="B154" s="135" t="s">
        <v>460</v>
      </c>
      <c r="C154" s="136" t="s">
        <v>481</v>
      </c>
      <c r="D154" s="45">
        <v>122</v>
      </c>
      <c r="E154" s="92" t="s">
        <v>344</v>
      </c>
      <c r="F154" s="45" t="s">
        <v>1086</v>
      </c>
      <c r="G154" s="49">
        <v>182996</v>
      </c>
      <c r="H154" s="45" t="s">
        <v>997</v>
      </c>
      <c r="I154" s="49">
        <v>45009</v>
      </c>
      <c r="J154" s="45" t="s">
        <v>1124</v>
      </c>
      <c r="K154" s="45" t="s">
        <v>1125</v>
      </c>
      <c r="L154" s="142" t="s">
        <v>768</v>
      </c>
      <c r="M154" s="143" t="s">
        <v>1344</v>
      </c>
      <c r="N154" s="136">
        <v>14111507</v>
      </c>
      <c r="O154" s="143" t="s">
        <v>1345</v>
      </c>
      <c r="P154" s="145">
        <v>44999707</v>
      </c>
      <c r="Q154" s="145">
        <v>44999707</v>
      </c>
      <c r="R154" s="45">
        <v>30123</v>
      </c>
      <c r="S154" s="45" t="s">
        <v>778</v>
      </c>
      <c r="T154" s="45" t="s">
        <v>64</v>
      </c>
      <c r="U154" s="45" t="s">
        <v>65</v>
      </c>
      <c r="V154" s="45"/>
      <c r="W154" s="137">
        <v>106792</v>
      </c>
      <c r="X154" s="45" t="s">
        <v>997</v>
      </c>
      <c r="Y154" s="49">
        <v>45009</v>
      </c>
      <c r="Z154" s="45" t="s">
        <v>1129</v>
      </c>
      <c r="AA154" s="45"/>
      <c r="AB154" s="136" t="s">
        <v>68</v>
      </c>
      <c r="AC154" s="136" t="s">
        <v>69</v>
      </c>
      <c r="AD154" s="143" t="s">
        <v>1130</v>
      </c>
      <c r="AE154" s="45">
        <v>860007336</v>
      </c>
      <c r="AF154" s="45">
        <v>1</v>
      </c>
      <c r="AG154" s="45" t="s">
        <v>517</v>
      </c>
      <c r="AH154" s="45"/>
      <c r="AI154" s="45"/>
      <c r="AJ154" s="45"/>
      <c r="AK154" s="45"/>
      <c r="AL154" s="49"/>
      <c r="AM154" s="50">
        <v>61523</v>
      </c>
      <c r="AN154" s="49">
        <v>45012</v>
      </c>
      <c r="AO154" s="147">
        <v>24889910</v>
      </c>
      <c r="AP154" s="45"/>
      <c r="AQ154" s="51"/>
      <c r="AR154" s="45"/>
      <c r="AS154" s="148">
        <f>SUM(AO154+AP154+AQ154+AR154)</f>
        <v>24889910</v>
      </c>
      <c r="AT154" s="45" t="s">
        <v>551</v>
      </c>
      <c r="AU154" s="49"/>
      <c r="AV154" s="136" t="s">
        <v>517</v>
      </c>
      <c r="AW154" s="49">
        <v>45009</v>
      </c>
      <c r="AX154" s="49">
        <v>45099</v>
      </c>
      <c r="AY154" s="45">
        <f t="shared" si="16"/>
        <v>90</v>
      </c>
      <c r="AZ154" s="47" t="s">
        <v>1346</v>
      </c>
      <c r="BA154" s="45">
        <v>40029680</v>
      </c>
      <c r="BB154" s="45"/>
      <c r="BC154" s="45"/>
      <c r="BD154" s="45"/>
      <c r="BE154" s="49"/>
      <c r="BF154" s="45"/>
      <c r="BG154" s="49"/>
      <c r="BH154" s="47"/>
      <c r="BI154" s="138">
        <v>13700</v>
      </c>
      <c r="BJ154" s="138">
        <f t="shared" si="17"/>
        <v>24889910</v>
      </c>
      <c r="BK154" s="49"/>
      <c r="BL154" s="45"/>
      <c r="BM154" s="45"/>
      <c r="BN154" s="49"/>
      <c r="BO154" s="45"/>
      <c r="BP154" s="47"/>
      <c r="BQ154" s="49"/>
      <c r="BR154" s="45"/>
      <c r="BS154" s="49"/>
      <c r="BT154" s="45">
        <f t="shared" si="18"/>
        <v>90</v>
      </c>
      <c r="BU154" s="45"/>
      <c r="BV154" s="45"/>
    </row>
    <row r="155" spans="1:74" s="65" customFormat="1" ht="15" customHeight="1" x14ac:dyDescent="0.25">
      <c r="A155" s="179" t="s">
        <v>459</v>
      </c>
      <c r="B155" s="135" t="s">
        <v>460</v>
      </c>
      <c r="C155" s="136" t="s">
        <v>481</v>
      </c>
      <c r="D155" s="45">
        <v>268</v>
      </c>
      <c r="E155" s="45" t="s">
        <v>409</v>
      </c>
      <c r="F155" s="45" t="s">
        <v>1123</v>
      </c>
      <c r="G155" s="137">
        <v>101228</v>
      </c>
      <c r="H155" s="48" t="s">
        <v>771</v>
      </c>
      <c r="I155" s="49">
        <v>45009</v>
      </c>
      <c r="J155" s="136" t="s">
        <v>1124</v>
      </c>
      <c r="K155" s="45" t="s">
        <v>1125</v>
      </c>
      <c r="L155" s="142" t="s">
        <v>610</v>
      </c>
      <c r="M155" s="142" t="s">
        <v>1126</v>
      </c>
      <c r="N155" s="136">
        <v>56101508</v>
      </c>
      <c r="O155" s="143" t="s">
        <v>1127</v>
      </c>
      <c r="P155" s="138">
        <v>52019488</v>
      </c>
      <c r="Q155" s="138">
        <v>52019488</v>
      </c>
      <c r="R155" s="48">
        <v>26523</v>
      </c>
      <c r="S155" s="48" t="s">
        <v>1128</v>
      </c>
      <c r="T155" s="136" t="s">
        <v>64</v>
      </c>
      <c r="U155" s="136" t="s">
        <v>65</v>
      </c>
      <c r="V155" s="45"/>
      <c r="W155" s="137">
        <v>106790</v>
      </c>
      <c r="X155" s="45" t="s">
        <v>632</v>
      </c>
      <c r="Y155" s="49">
        <v>45009</v>
      </c>
      <c r="Z155" s="45" t="s">
        <v>1129</v>
      </c>
      <c r="AA155" s="45"/>
      <c r="AB155" s="136" t="s">
        <v>68</v>
      </c>
      <c r="AC155" s="136" t="s">
        <v>69</v>
      </c>
      <c r="AD155" s="143" t="s">
        <v>1130</v>
      </c>
      <c r="AE155" s="45">
        <v>860007336</v>
      </c>
      <c r="AF155" s="45">
        <v>1</v>
      </c>
      <c r="AG155" s="45" t="s">
        <v>517</v>
      </c>
      <c r="AH155" s="189" t="s">
        <v>551</v>
      </c>
      <c r="AI155" s="45"/>
      <c r="AJ155" s="45"/>
      <c r="AK155" s="45" t="s">
        <v>517</v>
      </c>
      <c r="AL155" s="49" t="s">
        <v>517</v>
      </c>
      <c r="AM155" s="48">
        <v>65523</v>
      </c>
      <c r="AN155" s="49">
        <v>45013</v>
      </c>
      <c r="AO155" s="147">
        <v>27991420</v>
      </c>
      <c r="AP155" s="45"/>
      <c r="AQ155" s="51"/>
      <c r="AR155" s="45"/>
      <c r="AS155" s="147">
        <v>27991420</v>
      </c>
      <c r="AT155" s="45" t="s">
        <v>551</v>
      </c>
      <c r="AU155" s="136" t="s">
        <v>517</v>
      </c>
      <c r="AV155" s="138" t="s">
        <v>517</v>
      </c>
      <c r="AW155" s="49">
        <v>45009</v>
      </c>
      <c r="AX155" s="49">
        <v>45030</v>
      </c>
      <c r="AY155" s="136">
        <f t="shared" si="16"/>
        <v>21</v>
      </c>
      <c r="AZ155" s="47" t="s">
        <v>1131</v>
      </c>
      <c r="BA155" s="136">
        <v>22789760</v>
      </c>
      <c r="BB155" s="45"/>
      <c r="BC155" s="45"/>
      <c r="BD155" s="45"/>
      <c r="BE155" s="49"/>
      <c r="BF155" s="45"/>
      <c r="BG155" s="49"/>
      <c r="BH155" s="47"/>
      <c r="BI155" s="45"/>
      <c r="BJ155" s="138">
        <f t="shared" si="17"/>
        <v>27991420</v>
      </c>
      <c r="BK155" s="50">
        <v>47</v>
      </c>
      <c r="BL155" s="49">
        <v>45077</v>
      </c>
      <c r="BM155" s="49">
        <v>45029</v>
      </c>
      <c r="BN155" s="49"/>
      <c r="BO155" s="45"/>
      <c r="BP155" s="47"/>
      <c r="BQ155" s="49"/>
      <c r="BR155" s="45"/>
      <c r="BS155" s="49"/>
      <c r="BT155" s="180">
        <f t="shared" si="18"/>
        <v>68</v>
      </c>
      <c r="BU155" s="45"/>
      <c r="BV155" s="45"/>
    </row>
    <row r="156" spans="1:74" s="65" customFormat="1" ht="15" customHeight="1" x14ac:dyDescent="0.25">
      <c r="A156" s="179" t="s">
        <v>459</v>
      </c>
      <c r="B156" s="135" t="s">
        <v>460</v>
      </c>
      <c r="C156" s="136" t="s">
        <v>481</v>
      </c>
      <c r="D156" s="45">
        <v>268</v>
      </c>
      <c r="E156" s="45" t="s">
        <v>409</v>
      </c>
      <c r="F156" s="45" t="s">
        <v>1132</v>
      </c>
      <c r="G156" s="180">
        <v>183369</v>
      </c>
      <c r="H156" s="48" t="s">
        <v>771</v>
      </c>
      <c r="I156" s="49">
        <v>45009</v>
      </c>
      <c r="J156" s="136" t="s">
        <v>1124</v>
      </c>
      <c r="K156" s="45" t="s">
        <v>1125</v>
      </c>
      <c r="L156" s="142" t="s">
        <v>610</v>
      </c>
      <c r="M156" s="142" t="s">
        <v>1126</v>
      </c>
      <c r="N156" s="136">
        <v>56101508</v>
      </c>
      <c r="O156" s="143" t="s">
        <v>1127</v>
      </c>
      <c r="P156" s="138">
        <v>52019488</v>
      </c>
      <c r="Q156" s="138">
        <v>52019488</v>
      </c>
      <c r="R156" s="48">
        <v>26523</v>
      </c>
      <c r="S156" s="48" t="s">
        <v>1128</v>
      </c>
      <c r="T156" s="136" t="s">
        <v>64</v>
      </c>
      <c r="U156" s="136" t="s">
        <v>65</v>
      </c>
      <c r="V156" s="45"/>
      <c r="W156" s="137">
        <v>106793</v>
      </c>
      <c r="X156" s="45" t="s">
        <v>632</v>
      </c>
      <c r="Y156" s="49">
        <v>45009</v>
      </c>
      <c r="Z156" s="45" t="s">
        <v>1129</v>
      </c>
      <c r="AA156" s="45"/>
      <c r="AB156" s="136" t="s">
        <v>68</v>
      </c>
      <c r="AC156" s="136" t="s">
        <v>69</v>
      </c>
      <c r="AD156" s="45" t="s">
        <v>1268</v>
      </c>
      <c r="AE156" s="45">
        <v>10125834</v>
      </c>
      <c r="AF156" s="45">
        <v>1</v>
      </c>
      <c r="AG156" s="45" t="s">
        <v>517</v>
      </c>
      <c r="AH156" s="189" t="s">
        <v>551</v>
      </c>
      <c r="AI156" s="45"/>
      <c r="AJ156" s="45"/>
      <c r="AK156" s="45" t="s">
        <v>517</v>
      </c>
      <c r="AL156" s="49" t="s">
        <v>517</v>
      </c>
      <c r="AM156" s="48">
        <v>63423</v>
      </c>
      <c r="AN156" s="49">
        <v>45014</v>
      </c>
      <c r="AO156" s="147">
        <v>1911000</v>
      </c>
      <c r="AP156" s="45"/>
      <c r="AQ156" s="51"/>
      <c r="AR156" s="45"/>
      <c r="AS156" s="147">
        <v>1911000</v>
      </c>
      <c r="AT156" s="45" t="s">
        <v>551</v>
      </c>
      <c r="AU156" s="136" t="s">
        <v>517</v>
      </c>
      <c r="AV156" s="138" t="s">
        <v>517</v>
      </c>
      <c r="AW156" s="49">
        <v>45009</v>
      </c>
      <c r="AX156" s="49">
        <v>45030</v>
      </c>
      <c r="AY156" s="136">
        <f t="shared" si="16"/>
        <v>21</v>
      </c>
      <c r="AZ156" s="47" t="s">
        <v>1131</v>
      </c>
      <c r="BA156" s="136">
        <v>22789760</v>
      </c>
      <c r="BB156" s="45"/>
      <c r="BC156" s="45"/>
      <c r="BD156" s="45"/>
      <c r="BE156" s="49"/>
      <c r="BF156" s="45"/>
      <c r="BG156" s="49"/>
      <c r="BH156" s="47"/>
      <c r="BI156" s="45"/>
      <c r="BJ156" s="138">
        <f t="shared" si="17"/>
        <v>1911000</v>
      </c>
      <c r="BK156" s="50">
        <v>47</v>
      </c>
      <c r="BL156" s="49">
        <v>45077</v>
      </c>
      <c r="BM156" s="49">
        <v>45030</v>
      </c>
      <c r="BN156" s="49"/>
      <c r="BO156" s="45"/>
      <c r="BP156" s="47"/>
      <c r="BQ156" s="49"/>
      <c r="BR156" s="45"/>
      <c r="BS156" s="49"/>
      <c r="BT156" s="136">
        <f t="shared" si="18"/>
        <v>68</v>
      </c>
      <c r="BU156" s="45"/>
      <c r="BV156" s="45"/>
    </row>
    <row r="157" spans="1:74" s="3" customFormat="1" ht="15" customHeight="1" x14ac:dyDescent="0.25">
      <c r="A157" s="266" t="s">
        <v>459</v>
      </c>
      <c r="B157" s="267" t="s">
        <v>460</v>
      </c>
      <c r="C157" s="25" t="s">
        <v>481</v>
      </c>
      <c r="D157" s="3">
        <v>268</v>
      </c>
      <c r="E157" s="3" t="s">
        <v>767</v>
      </c>
      <c r="F157" s="3" t="s">
        <v>1133</v>
      </c>
      <c r="G157" s="268">
        <v>183441</v>
      </c>
      <c r="H157" s="3" t="s">
        <v>632</v>
      </c>
      <c r="I157" s="9">
        <v>45009</v>
      </c>
      <c r="J157" s="25" t="s">
        <v>1124</v>
      </c>
      <c r="K157" s="3" t="s">
        <v>1125</v>
      </c>
      <c r="L157" s="269" t="s">
        <v>610</v>
      </c>
      <c r="M157" s="269" t="s">
        <v>1126</v>
      </c>
      <c r="N157" s="270">
        <v>56101508</v>
      </c>
      <c r="O157" s="271" t="s">
        <v>1127</v>
      </c>
      <c r="P157" s="272">
        <v>52019488</v>
      </c>
      <c r="Q157" s="272">
        <v>52019488</v>
      </c>
      <c r="R157" s="1">
        <v>26523</v>
      </c>
      <c r="S157" s="271" t="s">
        <v>1128</v>
      </c>
      <c r="T157" s="25" t="s">
        <v>64</v>
      </c>
      <c r="U157" s="25" t="s">
        <v>65</v>
      </c>
      <c r="W157" s="273">
        <v>106795</v>
      </c>
      <c r="X157" s="3" t="s">
        <v>632</v>
      </c>
      <c r="Y157" s="9">
        <v>45009</v>
      </c>
      <c r="Z157" s="3" t="s">
        <v>1129</v>
      </c>
      <c r="AB157" s="274" t="s">
        <v>68</v>
      </c>
      <c r="AC157" s="274" t="s">
        <v>69</v>
      </c>
      <c r="AD157" s="3" t="s">
        <v>1134</v>
      </c>
      <c r="AE157" s="3">
        <v>8002374121</v>
      </c>
      <c r="AF157" s="3">
        <v>1</v>
      </c>
      <c r="AG157" s="3" t="s">
        <v>517</v>
      </c>
      <c r="AH157" s="26" t="s">
        <v>551</v>
      </c>
      <c r="AK157" s="3" t="s">
        <v>517</v>
      </c>
      <c r="AL157" s="9" t="s">
        <v>517</v>
      </c>
      <c r="AM157" s="1">
        <v>62323</v>
      </c>
      <c r="AN157" s="9">
        <v>45013</v>
      </c>
      <c r="AO157" s="275">
        <v>18908200</v>
      </c>
      <c r="AQ157" s="11"/>
      <c r="AS157" s="275">
        <v>18908200</v>
      </c>
      <c r="AT157" s="3" t="s">
        <v>551</v>
      </c>
      <c r="AU157" s="25" t="s">
        <v>517</v>
      </c>
      <c r="AV157" s="272" t="s">
        <v>517</v>
      </c>
      <c r="AW157" s="241">
        <v>45013</v>
      </c>
      <c r="AX157" s="9">
        <v>45030</v>
      </c>
      <c r="AY157" s="276">
        <f t="shared" si="16"/>
        <v>17</v>
      </c>
      <c r="AZ157" s="8" t="s">
        <v>1131</v>
      </c>
      <c r="BA157" s="25">
        <v>22789760</v>
      </c>
      <c r="BE157" s="9"/>
      <c r="BG157" s="9"/>
      <c r="BH157" s="8"/>
      <c r="BJ157" s="272">
        <f t="shared" si="17"/>
        <v>18908200</v>
      </c>
      <c r="BK157" s="9"/>
      <c r="BN157" s="9"/>
      <c r="BP157" s="8"/>
      <c r="BQ157" s="9"/>
      <c r="BS157" s="9"/>
      <c r="BT157" s="25">
        <f t="shared" si="18"/>
        <v>17</v>
      </c>
    </row>
    <row r="158" spans="1:74" s="65" customFormat="1" ht="15" customHeight="1" x14ac:dyDescent="0.25">
      <c r="A158" s="179" t="s">
        <v>459</v>
      </c>
      <c r="B158" s="135" t="s">
        <v>460</v>
      </c>
      <c r="C158" s="136" t="s">
        <v>481</v>
      </c>
      <c r="D158" s="45">
        <v>268</v>
      </c>
      <c r="E158" s="45" t="s">
        <v>409</v>
      </c>
      <c r="F158" s="45" t="s">
        <v>1135</v>
      </c>
      <c r="G158" s="180">
        <v>183372</v>
      </c>
      <c r="H158" s="48" t="s">
        <v>771</v>
      </c>
      <c r="I158" s="49">
        <v>45009</v>
      </c>
      <c r="J158" s="136" t="s">
        <v>1124</v>
      </c>
      <c r="K158" s="45" t="s">
        <v>1125</v>
      </c>
      <c r="L158" s="142" t="s">
        <v>610</v>
      </c>
      <c r="M158" s="190" t="s">
        <v>1126</v>
      </c>
      <c r="N158" s="136">
        <v>56101508</v>
      </c>
      <c r="O158" s="143" t="s">
        <v>1127</v>
      </c>
      <c r="P158" s="138">
        <v>52019488</v>
      </c>
      <c r="Q158" s="138">
        <v>52019488</v>
      </c>
      <c r="R158" s="48">
        <v>26523</v>
      </c>
      <c r="S158" s="48" t="s">
        <v>1128</v>
      </c>
      <c r="T158" s="136" t="s">
        <v>64</v>
      </c>
      <c r="U158" s="136" t="s">
        <v>65</v>
      </c>
      <c r="V158" s="45"/>
      <c r="W158" s="137">
        <v>106794</v>
      </c>
      <c r="X158" s="45" t="s">
        <v>632</v>
      </c>
      <c r="Y158" s="49">
        <v>45009</v>
      </c>
      <c r="Z158" s="45" t="s">
        <v>1129</v>
      </c>
      <c r="AA158" s="45"/>
      <c r="AB158" s="136" t="s">
        <v>68</v>
      </c>
      <c r="AC158" s="136" t="s">
        <v>69</v>
      </c>
      <c r="AD158" s="45" t="s">
        <v>1136</v>
      </c>
      <c r="AE158" s="45">
        <v>900365660</v>
      </c>
      <c r="AF158" s="45">
        <v>2</v>
      </c>
      <c r="AG158" s="45" t="s">
        <v>517</v>
      </c>
      <c r="AH158" s="189" t="s">
        <v>551</v>
      </c>
      <c r="AI158" s="45"/>
      <c r="AJ158" s="45"/>
      <c r="AK158" s="45" t="s">
        <v>517</v>
      </c>
      <c r="AL158" s="49" t="s">
        <v>517</v>
      </c>
      <c r="AM158" s="48">
        <v>62723</v>
      </c>
      <c r="AN158" s="49">
        <v>45013</v>
      </c>
      <c r="AO158" s="147">
        <v>1393024</v>
      </c>
      <c r="AP158" s="45"/>
      <c r="AQ158" s="51"/>
      <c r="AR158" s="45"/>
      <c r="AS158" s="147">
        <v>1393024</v>
      </c>
      <c r="AT158" s="45" t="s">
        <v>551</v>
      </c>
      <c r="AU158" s="136" t="s">
        <v>517</v>
      </c>
      <c r="AV158" s="138" t="s">
        <v>517</v>
      </c>
      <c r="AW158" s="49">
        <v>45009</v>
      </c>
      <c r="AX158" s="49">
        <v>45030</v>
      </c>
      <c r="AY158" s="136">
        <f t="shared" si="16"/>
        <v>21</v>
      </c>
      <c r="AZ158" s="47" t="s">
        <v>1131</v>
      </c>
      <c r="BA158" s="136">
        <v>22789760</v>
      </c>
      <c r="BB158" s="45"/>
      <c r="BC158" s="45"/>
      <c r="BD158" s="45"/>
      <c r="BE158" s="49"/>
      <c r="BF158" s="45"/>
      <c r="BG158" s="49"/>
      <c r="BH158" s="47"/>
      <c r="BI158" s="45"/>
      <c r="BJ158" s="138">
        <f t="shared" si="17"/>
        <v>1393024</v>
      </c>
      <c r="BK158" s="50">
        <v>47</v>
      </c>
      <c r="BL158" s="49">
        <v>45077</v>
      </c>
      <c r="BM158" s="49">
        <v>45030</v>
      </c>
      <c r="BN158" s="49"/>
      <c r="BO158" s="45"/>
      <c r="BP158" s="47"/>
      <c r="BQ158" s="49"/>
      <c r="BR158" s="45"/>
      <c r="BS158" s="49"/>
      <c r="BT158" s="136">
        <f t="shared" si="18"/>
        <v>68</v>
      </c>
      <c r="BU158" s="45"/>
      <c r="BV158" s="45"/>
    </row>
    <row r="159" spans="1:74" s="65" customFormat="1" ht="15" customHeight="1" x14ac:dyDescent="0.25">
      <c r="A159" s="179" t="s">
        <v>459</v>
      </c>
      <c r="B159" s="135" t="s">
        <v>460</v>
      </c>
      <c r="C159" s="136" t="s">
        <v>481</v>
      </c>
      <c r="D159" s="45">
        <v>130</v>
      </c>
      <c r="E159" s="45" t="s">
        <v>409</v>
      </c>
      <c r="F159" s="45" t="s">
        <v>1302</v>
      </c>
      <c r="G159" s="50">
        <v>148295</v>
      </c>
      <c r="H159" s="48" t="s">
        <v>771</v>
      </c>
      <c r="I159" s="49">
        <v>45009</v>
      </c>
      <c r="J159" s="45" t="s">
        <v>1124</v>
      </c>
      <c r="K159" s="45" t="s">
        <v>1125</v>
      </c>
      <c r="L159" s="142" t="s">
        <v>768</v>
      </c>
      <c r="M159" s="143" t="s">
        <v>1303</v>
      </c>
      <c r="N159" s="136">
        <v>76111501</v>
      </c>
      <c r="O159" s="144" t="s">
        <v>1142</v>
      </c>
      <c r="P159" s="145">
        <v>32196200</v>
      </c>
      <c r="Q159" s="145">
        <v>32196200</v>
      </c>
      <c r="R159" s="45">
        <v>28623</v>
      </c>
      <c r="S159" s="48" t="s">
        <v>1040</v>
      </c>
      <c r="T159" s="136" t="s">
        <v>64</v>
      </c>
      <c r="U159" s="136" t="s">
        <v>65</v>
      </c>
      <c r="V159" s="45"/>
      <c r="W159" s="137">
        <v>108011</v>
      </c>
      <c r="X159" s="45" t="s">
        <v>1253</v>
      </c>
      <c r="Y159" s="49">
        <v>45035</v>
      </c>
      <c r="Z159" s="45" t="s">
        <v>1254</v>
      </c>
      <c r="AA159" s="45"/>
      <c r="AB159" s="45" t="s">
        <v>1304</v>
      </c>
      <c r="AC159" s="45"/>
      <c r="AD159" s="146" t="s">
        <v>1305</v>
      </c>
      <c r="AE159" s="186">
        <v>901676927</v>
      </c>
      <c r="AF159" s="45">
        <v>1</v>
      </c>
      <c r="AG159" s="45" t="s">
        <v>517</v>
      </c>
      <c r="AH159" s="45"/>
      <c r="AI159" s="45"/>
      <c r="AJ159" s="45"/>
      <c r="AK159" s="45" t="s">
        <v>517</v>
      </c>
      <c r="AL159" s="49" t="s">
        <v>517</v>
      </c>
      <c r="AM159" s="48">
        <v>73623</v>
      </c>
      <c r="AN159" s="49">
        <v>45036</v>
      </c>
      <c r="AO159" s="147">
        <v>29011980.52</v>
      </c>
      <c r="AP159" s="45"/>
      <c r="AQ159" s="51"/>
      <c r="AR159" s="45"/>
      <c r="AS159" s="148">
        <f>SUM(AO159+AP159+AQ159+AR159)</f>
        <v>29011980.52</v>
      </c>
      <c r="AT159" s="45" t="s">
        <v>297</v>
      </c>
      <c r="AU159" s="49">
        <v>45041</v>
      </c>
      <c r="AV159" s="136" t="s">
        <v>74</v>
      </c>
      <c r="AW159" s="49">
        <v>45035</v>
      </c>
      <c r="AX159" s="49">
        <v>45291</v>
      </c>
      <c r="AY159" s="136">
        <f t="shared" si="16"/>
        <v>256</v>
      </c>
      <c r="AZ159" s="149" t="s">
        <v>1301</v>
      </c>
      <c r="BA159" s="136">
        <v>79448817</v>
      </c>
      <c r="BB159" s="45"/>
      <c r="BC159" s="45"/>
      <c r="BD159" s="45"/>
      <c r="BE159" s="49"/>
      <c r="BF159" s="45"/>
      <c r="BG159" s="49"/>
      <c r="BH159" s="47"/>
      <c r="BI159" s="45"/>
      <c r="BJ159" s="138">
        <f t="shared" si="17"/>
        <v>29011980.52</v>
      </c>
      <c r="BK159" s="49"/>
      <c r="BL159" s="45"/>
      <c r="BM159" s="45"/>
      <c r="BN159" s="49"/>
      <c r="BO159" s="45"/>
      <c r="BP159" s="47"/>
      <c r="BQ159" s="49"/>
      <c r="BR159" s="45"/>
      <c r="BS159" s="49"/>
      <c r="BT159" s="45">
        <f t="shared" si="18"/>
        <v>256</v>
      </c>
      <c r="BU159" s="45"/>
      <c r="BV159" s="45"/>
    </row>
    <row r="160" spans="1:74" s="65" customFormat="1" ht="15" customHeight="1" x14ac:dyDescent="0.25">
      <c r="A160" s="179" t="s">
        <v>459</v>
      </c>
      <c r="B160" s="135" t="s">
        <v>460</v>
      </c>
      <c r="C160" s="136" t="s">
        <v>481</v>
      </c>
      <c r="D160" s="45">
        <v>268</v>
      </c>
      <c r="E160" s="45" t="s">
        <v>409</v>
      </c>
      <c r="F160" s="45" t="s">
        <v>1135</v>
      </c>
      <c r="G160" s="180">
        <v>183372</v>
      </c>
      <c r="H160" s="48" t="s">
        <v>771</v>
      </c>
      <c r="I160" s="49">
        <v>45009</v>
      </c>
      <c r="J160" s="136" t="s">
        <v>1124</v>
      </c>
      <c r="K160" s="45" t="s">
        <v>1125</v>
      </c>
      <c r="L160" s="45" t="s">
        <v>652</v>
      </c>
      <c r="M160" s="136" t="s">
        <v>1126</v>
      </c>
      <c r="N160" s="136">
        <v>56101508</v>
      </c>
      <c r="O160" s="48" t="s">
        <v>1127</v>
      </c>
      <c r="P160" s="138">
        <v>52019488</v>
      </c>
      <c r="Q160" s="138">
        <v>52019488</v>
      </c>
      <c r="R160" s="48">
        <v>26523</v>
      </c>
      <c r="S160" s="48" t="s">
        <v>1128</v>
      </c>
      <c r="T160" s="136" t="s">
        <v>64</v>
      </c>
      <c r="U160" s="136" t="s">
        <v>65</v>
      </c>
      <c r="V160" s="45"/>
      <c r="W160" s="137">
        <v>106794</v>
      </c>
      <c r="X160" s="45" t="s">
        <v>632</v>
      </c>
      <c r="Y160" s="49">
        <v>45009</v>
      </c>
      <c r="Z160" s="45" t="s">
        <v>1129</v>
      </c>
      <c r="AA160" s="45"/>
      <c r="AB160" s="191" t="s">
        <v>68</v>
      </c>
      <c r="AC160" s="191" t="s">
        <v>69</v>
      </c>
      <c r="AD160" s="45" t="s">
        <v>1136</v>
      </c>
      <c r="AE160" s="45">
        <v>900365660</v>
      </c>
      <c r="AF160" s="45">
        <v>2</v>
      </c>
      <c r="AG160" s="45" t="s">
        <v>517</v>
      </c>
      <c r="AH160" s="45" t="s">
        <v>551</v>
      </c>
      <c r="AI160" s="45"/>
      <c r="AJ160" s="45"/>
      <c r="AK160" s="45" t="s">
        <v>517</v>
      </c>
      <c r="AL160" s="49" t="s">
        <v>517</v>
      </c>
      <c r="AM160" s="48">
        <v>62723</v>
      </c>
      <c r="AN160" s="49">
        <v>45013</v>
      </c>
      <c r="AO160" s="140">
        <v>1393024</v>
      </c>
      <c r="AP160" s="45"/>
      <c r="AQ160" s="51"/>
      <c r="AR160" s="45"/>
      <c r="AS160" s="140">
        <v>1393024</v>
      </c>
      <c r="AT160" s="45" t="s">
        <v>551</v>
      </c>
      <c r="AU160" s="136" t="s">
        <v>517</v>
      </c>
      <c r="AV160" s="138" t="s">
        <v>517</v>
      </c>
      <c r="AW160" s="49">
        <v>45009</v>
      </c>
      <c r="AX160" s="49">
        <v>45030</v>
      </c>
      <c r="AY160" s="136">
        <f t="shared" si="16"/>
        <v>21</v>
      </c>
      <c r="AZ160" s="47" t="s">
        <v>1131</v>
      </c>
      <c r="BA160" s="136">
        <v>22789760</v>
      </c>
      <c r="BB160" s="45"/>
      <c r="BC160" s="45"/>
      <c r="BD160" s="45"/>
      <c r="BE160" s="49"/>
      <c r="BF160" s="45"/>
      <c r="BG160" s="49"/>
      <c r="BH160" s="47"/>
      <c r="BI160" s="45"/>
      <c r="BJ160" s="138">
        <f t="shared" si="17"/>
        <v>1393024</v>
      </c>
      <c r="BK160" s="49"/>
      <c r="BL160" s="45"/>
      <c r="BM160" s="45"/>
      <c r="BN160" s="49"/>
      <c r="BO160" s="45"/>
      <c r="BP160" s="47"/>
      <c r="BQ160" s="49"/>
      <c r="BR160" s="45"/>
      <c r="BS160" s="49"/>
      <c r="BT160" s="136">
        <f t="shared" si="18"/>
        <v>21</v>
      </c>
      <c r="BU160" s="45"/>
      <c r="BV160" s="45"/>
    </row>
    <row r="161" spans="1:74" s="82" customFormat="1" ht="15" customHeight="1" x14ac:dyDescent="0.25">
      <c r="A161" s="80" t="s">
        <v>459</v>
      </c>
      <c r="B161" s="80" t="s">
        <v>460</v>
      </c>
      <c r="C161" s="81" t="s">
        <v>54</v>
      </c>
      <c r="D161" s="85">
        <v>194</v>
      </c>
      <c r="E161" s="85" t="s">
        <v>345</v>
      </c>
      <c r="F161" s="85" t="s">
        <v>971</v>
      </c>
      <c r="G161" s="171" t="s">
        <v>972</v>
      </c>
      <c r="H161" s="85" t="s">
        <v>771</v>
      </c>
      <c r="I161" s="182">
        <v>45013</v>
      </c>
      <c r="J161" s="85" t="s">
        <v>973</v>
      </c>
      <c r="K161" s="85"/>
      <c r="L161" s="85" t="s">
        <v>340</v>
      </c>
      <c r="M161" s="85" t="s">
        <v>974</v>
      </c>
      <c r="N161" s="172" t="s">
        <v>975</v>
      </c>
      <c r="O161" s="172" t="s">
        <v>976</v>
      </c>
      <c r="P161" s="172">
        <v>25000000</v>
      </c>
      <c r="Q161" s="172">
        <v>18789570</v>
      </c>
      <c r="R161" s="85">
        <v>31223</v>
      </c>
      <c r="S161" s="85" t="s">
        <v>977</v>
      </c>
      <c r="T161" s="85" t="s">
        <v>64</v>
      </c>
      <c r="U161" s="85" t="s">
        <v>65</v>
      </c>
      <c r="V161" s="85" t="s">
        <v>517</v>
      </c>
      <c r="W161" s="171" t="s">
        <v>1376</v>
      </c>
      <c r="X161" s="85" t="s">
        <v>1159</v>
      </c>
      <c r="Y161" s="171">
        <v>45044</v>
      </c>
      <c r="Z161" s="85" t="s">
        <v>932</v>
      </c>
      <c r="AA161" s="192"/>
      <c r="AB161" s="85" t="s">
        <v>1377</v>
      </c>
      <c r="AC161" s="85" t="s">
        <v>1378</v>
      </c>
      <c r="AD161" s="85" t="s">
        <v>1379</v>
      </c>
      <c r="AE161" s="85">
        <v>7546762</v>
      </c>
      <c r="AF161" s="192" t="s">
        <v>517</v>
      </c>
      <c r="AG161" s="192" t="s">
        <v>517</v>
      </c>
      <c r="AH161" s="192"/>
      <c r="AI161" s="193"/>
      <c r="AJ161" s="193"/>
      <c r="AK161" s="192" t="s">
        <v>517</v>
      </c>
      <c r="AL161" s="194" t="s">
        <v>517</v>
      </c>
      <c r="AM161" s="172"/>
      <c r="AN161" s="171"/>
      <c r="AO161" s="195"/>
      <c r="AP161" s="192"/>
      <c r="AQ161" s="196"/>
      <c r="AR161" s="192"/>
      <c r="AS161" s="196"/>
      <c r="AT161" s="85"/>
      <c r="AU161" s="171"/>
      <c r="AV161" s="171"/>
      <c r="AW161" s="171"/>
      <c r="AX161" s="171"/>
      <c r="AY161" s="81">
        <f t="shared" si="16"/>
        <v>0</v>
      </c>
      <c r="AZ161" s="172"/>
      <c r="BA161" s="171"/>
      <c r="BB161" s="195"/>
      <c r="BC161" s="197"/>
      <c r="BD161" s="192"/>
      <c r="BE161" s="197"/>
      <c r="BF161" s="192"/>
      <c r="BG161" s="197"/>
      <c r="BH161" s="195"/>
      <c r="BI161" s="197"/>
      <c r="BJ161" s="195"/>
      <c r="BK161" s="197"/>
      <c r="BL161" s="197"/>
      <c r="BM161" s="197"/>
      <c r="BN161" s="197"/>
      <c r="BO161" s="192"/>
      <c r="BP161" s="197"/>
      <c r="BQ161" s="197"/>
      <c r="BR161" s="195"/>
      <c r="BS161" s="197"/>
      <c r="BT161" s="85"/>
      <c r="BU161" s="197"/>
      <c r="BV161" s="198"/>
    </row>
    <row r="162" spans="1:74" s="65" customFormat="1" ht="15" customHeight="1" x14ac:dyDescent="0.25">
      <c r="A162" s="179" t="s">
        <v>459</v>
      </c>
      <c r="B162" s="135" t="s">
        <v>460</v>
      </c>
      <c r="C162" s="136" t="s">
        <v>481</v>
      </c>
      <c r="D162" s="45">
        <v>128</v>
      </c>
      <c r="E162" s="45" t="s">
        <v>409</v>
      </c>
      <c r="F162" s="45" t="s">
        <v>1310</v>
      </c>
      <c r="G162" s="50">
        <v>148177</v>
      </c>
      <c r="H162" s="48" t="s">
        <v>771</v>
      </c>
      <c r="I162" s="49">
        <v>45013</v>
      </c>
      <c r="J162" s="45" t="s">
        <v>1124</v>
      </c>
      <c r="K162" s="45" t="s">
        <v>1125</v>
      </c>
      <c r="L162" s="142" t="s">
        <v>768</v>
      </c>
      <c r="M162" s="143" t="s">
        <v>1311</v>
      </c>
      <c r="N162" s="136">
        <v>76111501</v>
      </c>
      <c r="O162" s="199" t="s">
        <v>1142</v>
      </c>
      <c r="P162" s="145">
        <v>406829087</v>
      </c>
      <c r="Q162" s="145">
        <v>406829087</v>
      </c>
      <c r="R162" s="45">
        <v>28623</v>
      </c>
      <c r="S162" s="48" t="s">
        <v>1040</v>
      </c>
      <c r="T162" s="136" t="s">
        <v>64</v>
      </c>
      <c r="U162" s="136" t="s">
        <v>65</v>
      </c>
      <c r="V162" s="45"/>
      <c r="W162" s="137">
        <v>108112</v>
      </c>
      <c r="X162" s="45" t="s">
        <v>1253</v>
      </c>
      <c r="Y162" s="49">
        <v>45036</v>
      </c>
      <c r="Z162" s="45" t="s">
        <v>1254</v>
      </c>
      <c r="AA162" s="45"/>
      <c r="AB162" s="45" t="s">
        <v>1312</v>
      </c>
      <c r="AC162" s="45" t="s">
        <v>69</v>
      </c>
      <c r="AD162" s="146" t="s">
        <v>1279</v>
      </c>
      <c r="AE162" s="45">
        <v>901677020</v>
      </c>
      <c r="AF162" s="45">
        <v>1</v>
      </c>
      <c r="AG162" s="45" t="s">
        <v>517</v>
      </c>
      <c r="AH162" s="45"/>
      <c r="AI162" s="45"/>
      <c r="AJ162" s="45"/>
      <c r="AK162" s="45" t="s">
        <v>517</v>
      </c>
      <c r="AL162" s="49" t="s">
        <v>517</v>
      </c>
      <c r="AM162" s="48">
        <v>74923</v>
      </c>
      <c r="AN162" s="49">
        <v>45037</v>
      </c>
      <c r="AO162" s="147">
        <v>339572893.01999998</v>
      </c>
      <c r="AP162" s="45"/>
      <c r="AQ162" s="51"/>
      <c r="AR162" s="45"/>
      <c r="AS162" s="148">
        <f>SUM(AO162+AP162+AQ162+AR162)</f>
        <v>339572893.01999998</v>
      </c>
      <c r="AT162" s="45" t="s">
        <v>297</v>
      </c>
      <c r="AU162" s="49">
        <v>45041</v>
      </c>
      <c r="AV162" s="136" t="s">
        <v>74</v>
      </c>
      <c r="AW162" s="49">
        <v>45036</v>
      </c>
      <c r="AX162" s="49">
        <v>45291</v>
      </c>
      <c r="AY162" s="136">
        <f>(AX162-AW162)</f>
        <v>255</v>
      </c>
      <c r="AZ162" s="149" t="s">
        <v>1313</v>
      </c>
      <c r="BA162" s="136">
        <v>52199365</v>
      </c>
      <c r="BB162" s="45"/>
      <c r="BC162" s="45"/>
      <c r="BD162" s="45"/>
      <c r="BE162" s="49"/>
      <c r="BF162" s="45"/>
      <c r="BG162" s="49"/>
      <c r="BH162" s="47"/>
      <c r="BI162" s="45"/>
      <c r="BJ162" s="138">
        <f>SUM(AS162+BB162+BD162+BF162-BH162)</f>
        <v>339572893.01999998</v>
      </c>
      <c r="BK162" s="49"/>
      <c r="BL162" s="45"/>
      <c r="BM162" s="45"/>
      <c r="BN162" s="49"/>
      <c r="BO162" s="45"/>
      <c r="BP162" s="47"/>
      <c r="BQ162" s="49"/>
      <c r="BR162" s="45"/>
      <c r="BS162" s="49"/>
      <c r="BT162" s="45">
        <f>SUM(AY162+BK162+BN162+BQ162)</f>
        <v>255</v>
      </c>
      <c r="BU162" s="45"/>
      <c r="BV162" s="45"/>
    </row>
    <row r="163" spans="1:74" s="65" customFormat="1" ht="15" customHeight="1" x14ac:dyDescent="0.25">
      <c r="A163" s="181" t="s">
        <v>459</v>
      </c>
      <c r="B163" s="80" t="s">
        <v>460</v>
      </c>
      <c r="C163" s="82" t="s">
        <v>54</v>
      </c>
      <c r="D163" s="82">
        <v>39</v>
      </c>
      <c r="E163" s="200" t="s">
        <v>1183</v>
      </c>
      <c r="F163" s="82" t="s">
        <v>774</v>
      </c>
      <c r="G163" s="85" t="s">
        <v>775</v>
      </c>
      <c r="H163" s="82" t="s">
        <v>771</v>
      </c>
      <c r="I163" s="182">
        <v>45014</v>
      </c>
      <c r="J163" s="82" t="s">
        <v>59</v>
      </c>
      <c r="K163" s="85" t="s">
        <v>330</v>
      </c>
      <c r="L163" s="85" t="s">
        <v>250</v>
      </c>
      <c r="M163" s="82" t="s">
        <v>776</v>
      </c>
      <c r="N163" s="85">
        <v>82111904</v>
      </c>
      <c r="O163" s="85" t="s">
        <v>777</v>
      </c>
      <c r="P163" s="172">
        <v>950000</v>
      </c>
      <c r="Q163" s="172">
        <v>838000</v>
      </c>
      <c r="R163" s="85">
        <v>30023</v>
      </c>
      <c r="S163" s="85" t="s">
        <v>778</v>
      </c>
      <c r="T163" s="201" t="s">
        <v>64</v>
      </c>
      <c r="U163" s="201" t="s">
        <v>1198</v>
      </c>
      <c r="V163" s="85"/>
      <c r="W163" s="85" t="s">
        <v>1383</v>
      </c>
      <c r="X163" s="201" t="s">
        <v>1200</v>
      </c>
      <c r="Y163" s="84">
        <v>45035</v>
      </c>
      <c r="Z163" s="85" t="s">
        <v>1384</v>
      </c>
      <c r="AA163" s="85"/>
      <c r="AB163" s="85" t="s">
        <v>68</v>
      </c>
      <c r="AC163" s="85" t="s">
        <v>1385</v>
      </c>
      <c r="AD163" s="85" t="s">
        <v>1386</v>
      </c>
      <c r="AE163" s="85" t="s">
        <v>1387</v>
      </c>
      <c r="AF163" s="85"/>
      <c r="AG163" s="85"/>
      <c r="AH163" s="85"/>
      <c r="AI163" s="82"/>
      <c r="AJ163" s="82"/>
      <c r="AK163" s="85"/>
      <c r="AL163" s="183"/>
      <c r="AM163" s="85">
        <v>74823</v>
      </c>
      <c r="AN163" s="171">
        <v>45037</v>
      </c>
      <c r="AO163" s="201">
        <v>838000</v>
      </c>
      <c r="AP163" s="85"/>
      <c r="AQ163" s="85"/>
      <c r="AR163" s="85"/>
      <c r="AS163" s="201">
        <v>838000</v>
      </c>
      <c r="AT163" s="85" t="s">
        <v>551</v>
      </c>
      <c r="AU163" s="171"/>
      <c r="AV163" s="85"/>
      <c r="AW163" s="171">
        <v>45031</v>
      </c>
      <c r="AX163" s="171">
        <v>45397</v>
      </c>
      <c r="AY163" s="82">
        <f t="shared" ref="AY163" si="19">(AX163-AW163)</f>
        <v>366</v>
      </c>
      <c r="AZ163" s="85" t="s">
        <v>178</v>
      </c>
      <c r="BA163" s="201">
        <v>393757630</v>
      </c>
      <c r="BB163" s="172"/>
      <c r="BC163" s="171"/>
      <c r="BD163" s="85"/>
      <c r="BE163" s="85"/>
      <c r="BF163" s="85"/>
      <c r="BG163" s="171"/>
      <c r="BH163" s="85"/>
      <c r="BI163" s="171"/>
      <c r="BJ163" s="201">
        <v>838000</v>
      </c>
      <c r="BK163" s="85"/>
      <c r="BL163" s="171"/>
      <c r="BM163" s="171"/>
      <c r="BN163" s="85"/>
      <c r="BO163" s="85"/>
      <c r="BP163" s="171"/>
      <c r="BQ163" s="85"/>
      <c r="BR163" s="172"/>
      <c r="BS163" s="171"/>
      <c r="BT163" s="85"/>
      <c r="BU163" s="171"/>
      <c r="BV163" s="85"/>
    </row>
    <row r="164" spans="1:74" s="65" customFormat="1" ht="15" customHeight="1" x14ac:dyDescent="0.25">
      <c r="A164" s="178" t="s">
        <v>459</v>
      </c>
      <c r="B164" s="43" t="s">
        <v>460</v>
      </c>
      <c r="C164" s="45" t="s">
        <v>54</v>
      </c>
      <c r="D164" s="48">
        <v>258</v>
      </c>
      <c r="E164" s="45" t="s">
        <v>221</v>
      </c>
      <c r="F164" s="48" t="s">
        <v>861</v>
      </c>
      <c r="G164" s="61" t="s">
        <v>862</v>
      </c>
      <c r="H164" s="48" t="s">
        <v>771</v>
      </c>
      <c r="I164" s="77">
        <v>45014</v>
      </c>
      <c r="J164" s="48" t="s">
        <v>849</v>
      </c>
      <c r="K164" s="48" t="s">
        <v>863</v>
      </c>
      <c r="L164" s="48" t="s">
        <v>841</v>
      </c>
      <c r="M164" s="45" t="s">
        <v>864</v>
      </c>
      <c r="N164" s="56" t="s">
        <v>865</v>
      </c>
      <c r="O164" s="56" t="s">
        <v>866</v>
      </c>
      <c r="P164" s="56">
        <v>110000000</v>
      </c>
      <c r="Q164" s="56">
        <v>110000000</v>
      </c>
      <c r="R164" s="48">
        <v>29923</v>
      </c>
      <c r="S164" s="48" t="s">
        <v>867</v>
      </c>
      <c r="T164" s="45" t="s">
        <v>516</v>
      </c>
      <c r="U164" s="45" t="s">
        <v>517</v>
      </c>
      <c r="V164" s="48"/>
      <c r="W164" s="61"/>
      <c r="X164" s="48"/>
      <c r="Y164" s="61"/>
      <c r="Z164" s="48"/>
      <c r="AA164" s="48"/>
      <c r="AB164" s="48"/>
      <c r="AC164" s="48"/>
      <c r="AD164" s="48"/>
      <c r="AE164" s="48"/>
      <c r="AF164" s="48"/>
      <c r="AG164" s="48"/>
      <c r="AH164" s="48"/>
      <c r="AI164" s="45"/>
      <c r="AJ164" s="45"/>
      <c r="AK164" s="49"/>
      <c r="AL164" s="58" t="e">
        <f ca="1">+YEAR(TODAY())-YEAR([3]!Tabla1[[#This Row],[FECHA DE NACIMIENTO]])</f>
        <v>#REF!</v>
      </c>
      <c r="AM164" s="45"/>
      <c r="AN164" s="74"/>
      <c r="AO164" s="56"/>
      <c r="AP164" s="48"/>
      <c r="AQ164" s="59"/>
      <c r="AR164" s="48"/>
      <c r="AS164" s="133"/>
      <c r="AT164" s="48"/>
      <c r="AU164" s="61"/>
      <c r="AV164" s="61"/>
      <c r="AW164" s="61"/>
      <c r="AX164" s="74"/>
      <c r="AY164" s="45">
        <f>(AX164-AW164)</f>
        <v>0</v>
      </c>
      <c r="AZ164" s="56"/>
      <c r="BA164" s="45"/>
      <c r="BB164" s="56"/>
      <c r="BC164" s="61"/>
      <c r="BD164" s="48"/>
      <c r="BE164" s="61"/>
      <c r="BF164" s="48"/>
      <c r="BG164" s="61"/>
      <c r="BH164" s="56"/>
      <c r="BI164" s="61"/>
      <c r="BJ164" s="56"/>
      <c r="BK164" s="61"/>
      <c r="BL164" s="61"/>
      <c r="BM164" s="61"/>
      <c r="BN164" s="61"/>
      <c r="BO164" s="48"/>
      <c r="BP164" s="61"/>
      <c r="BQ164" s="61"/>
      <c r="BR164" s="56"/>
      <c r="BS164" s="61"/>
      <c r="BT164" s="48"/>
      <c r="BU164" s="61"/>
      <c r="BV164" s="48"/>
    </row>
    <row r="165" spans="1:74" ht="15" customHeight="1" x14ac:dyDescent="0.25">
      <c r="A165" s="178" t="s">
        <v>459</v>
      </c>
      <c r="B165" s="43" t="s">
        <v>460</v>
      </c>
      <c r="C165" s="45" t="s">
        <v>54</v>
      </c>
      <c r="D165" s="48">
        <v>79</v>
      </c>
      <c r="E165" s="48" t="s">
        <v>345</v>
      </c>
      <c r="F165" s="48" t="s">
        <v>965</v>
      </c>
      <c r="G165" s="61" t="s">
        <v>966</v>
      </c>
      <c r="H165" s="48" t="s">
        <v>771</v>
      </c>
      <c r="I165" s="77">
        <v>45014</v>
      </c>
      <c r="J165" s="48" t="s">
        <v>1108</v>
      </c>
      <c r="K165" s="45" t="s">
        <v>493</v>
      </c>
      <c r="L165" s="48" t="s">
        <v>967</v>
      </c>
      <c r="M165" s="48" t="s">
        <v>968</v>
      </c>
      <c r="N165" s="56" t="s">
        <v>969</v>
      </c>
      <c r="O165" s="56" t="s">
        <v>970</v>
      </c>
      <c r="P165" s="56">
        <v>433440000</v>
      </c>
      <c r="Q165" s="56">
        <v>432832203</v>
      </c>
      <c r="R165" s="48">
        <v>27523</v>
      </c>
      <c r="S165" s="48" t="s">
        <v>905</v>
      </c>
      <c r="T165" s="48" t="s">
        <v>516</v>
      </c>
      <c r="U165" s="48"/>
      <c r="V165" s="48"/>
      <c r="W165" s="61"/>
      <c r="X165" s="48"/>
      <c r="Y165" s="61"/>
      <c r="Z165" s="48"/>
      <c r="AA165" s="48"/>
      <c r="AB165" s="48"/>
      <c r="AC165" s="48"/>
      <c r="AD165" s="48"/>
      <c r="AE165" s="48"/>
      <c r="AF165" s="48"/>
      <c r="AG165" s="48"/>
      <c r="AH165" s="48"/>
      <c r="AI165" s="45"/>
      <c r="AJ165" s="45"/>
      <c r="AK165" s="48"/>
      <c r="AL165" s="58" t="e">
        <f ca="1">+YEAR(TODAY())-YEAR([6]!Tabla1[[#This Row],[FECHA DE NACIMIENTO]])</f>
        <v>#REF!</v>
      </c>
      <c r="AM165" s="56"/>
      <c r="AN165" s="61"/>
      <c r="AO165" s="56"/>
      <c r="AP165" s="48"/>
      <c r="AQ165" s="59"/>
      <c r="AR165" s="48"/>
      <c r="AS165" s="59"/>
      <c r="AT165" s="48"/>
      <c r="AU165" s="61"/>
      <c r="AV165" s="61"/>
      <c r="AW165" s="61"/>
      <c r="AX165" s="61"/>
      <c r="AY165" s="45">
        <f>(AX165-AW165)</f>
        <v>0</v>
      </c>
      <c r="AZ165" s="56"/>
      <c r="BA165" s="61"/>
      <c r="BB165" s="56"/>
      <c r="BC165" s="61"/>
      <c r="BD165" s="48"/>
      <c r="BE165" s="61"/>
      <c r="BF165" s="48"/>
      <c r="BG165" s="61"/>
      <c r="BH165" s="56"/>
      <c r="BI165" s="61"/>
      <c r="BJ165" s="56"/>
      <c r="BK165" s="61"/>
      <c r="BL165" s="61"/>
      <c r="BM165" s="61"/>
      <c r="BN165" s="61"/>
      <c r="BO165" s="48"/>
      <c r="BP165" s="61"/>
      <c r="BQ165" s="61"/>
      <c r="BR165" s="56"/>
      <c r="BS165" s="61"/>
      <c r="BT165" s="48"/>
      <c r="BU165" s="61"/>
      <c r="BV165" s="60"/>
    </row>
    <row r="166" spans="1:74" s="82" customFormat="1" ht="15" customHeight="1" x14ac:dyDescent="0.25">
      <c r="A166" s="80" t="s">
        <v>459</v>
      </c>
      <c r="B166" s="80" t="s">
        <v>460</v>
      </c>
      <c r="C166" s="81" t="s">
        <v>54</v>
      </c>
      <c r="D166" s="85" t="s">
        <v>978</v>
      </c>
      <c r="E166" s="85" t="s">
        <v>345</v>
      </c>
      <c r="F166" s="85" t="s">
        <v>979</v>
      </c>
      <c r="G166" s="171" t="s">
        <v>980</v>
      </c>
      <c r="H166" s="85" t="s">
        <v>771</v>
      </c>
      <c r="I166" s="182">
        <v>45014</v>
      </c>
      <c r="J166" s="85" t="s">
        <v>59</v>
      </c>
      <c r="K166" s="85" t="s">
        <v>946</v>
      </c>
      <c r="L166" s="85" t="s">
        <v>981</v>
      </c>
      <c r="M166" s="85" t="s">
        <v>982</v>
      </c>
      <c r="N166" s="85">
        <v>90121502</v>
      </c>
      <c r="O166" s="172" t="s">
        <v>983</v>
      </c>
      <c r="P166" s="172">
        <v>1036000000</v>
      </c>
      <c r="Q166" s="172">
        <v>1036000000</v>
      </c>
      <c r="R166" s="85">
        <v>30523</v>
      </c>
      <c r="S166" s="85" t="s">
        <v>984</v>
      </c>
      <c r="T166" s="85" t="s">
        <v>64</v>
      </c>
      <c r="U166" s="85" t="s">
        <v>65</v>
      </c>
      <c r="V166" s="85" t="s">
        <v>517</v>
      </c>
      <c r="W166" s="171" t="s">
        <v>1380</v>
      </c>
      <c r="X166" s="85" t="s">
        <v>1159</v>
      </c>
      <c r="Y166" s="171">
        <v>45029</v>
      </c>
      <c r="Z166" s="85" t="s">
        <v>951</v>
      </c>
      <c r="AA166" s="192"/>
      <c r="AB166" s="85" t="s">
        <v>295</v>
      </c>
      <c r="AC166" s="85" t="s">
        <v>69</v>
      </c>
      <c r="AD166" s="85" t="s">
        <v>1381</v>
      </c>
      <c r="AE166" s="85">
        <v>899999143</v>
      </c>
      <c r="AF166" s="192">
        <v>4</v>
      </c>
      <c r="AG166" s="192" t="s">
        <v>517</v>
      </c>
      <c r="AH166" s="192"/>
      <c r="AI166" s="193"/>
      <c r="AJ166" s="193"/>
      <c r="AK166" s="192" t="s">
        <v>517</v>
      </c>
      <c r="AL166" s="194" t="s">
        <v>517</v>
      </c>
      <c r="AM166" s="85">
        <v>69823</v>
      </c>
      <c r="AN166" s="171">
        <v>45029</v>
      </c>
      <c r="AO166" s="195">
        <v>1036000000</v>
      </c>
      <c r="AP166" s="192"/>
      <c r="AQ166" s="196"/>
      <c r="AR166" s="192"/>
      <c r="AS166" s="196">
        <v>1036000000</v>
      </c>
      <c r="AT166" s="85" t="s">
        <v>478</v>
      </c>
      <c r="AU166" s="171">
        <v>1</v>
      </c>
      <c r="AV166" s="171" t="s">
        <v>517</v>
      </c>
      <c r="AW166" s="171">
        <v>45029</v>
      </c>
      <c r="AX166" s="171">
        <v>45291</v>
      </c>
      <c r="AY166" s="81">
        <f t="shared" ref="AY166" si="20">(AX166-AW166)</f>
        <v>262</v>
      </c>
      <c r="AZ166" s="172" t="s">
        <v>1382</v>
      </c>
      <c r="BA166" s="85">
        <v>52853481</v>
      </c>
      <c r="BB166" s="195"/>
      <c r="BC166" s="197"/>
      <c r="BD166" s="192"/>
      <c r="BE166" s="197"/>
      <c r="BF166" s="192"/>
      <c r="BG166" s="197"/>
      <c r="BH166" s="195"/>
      <c r="BI166" s="197"/>
      <c r="BJ166" s="195"/>
      <c r="BK166" s="197"/>
      <c r="BL166" s="197"/>
      <c r="BM166" s="197"/>
      <c r="BN166" s="197"/>
      <c r="BO166" s="192"/>
      <c r="BP166" s="197"/>
      <c r="BQ166" s="197"/>
      <c r="BR166" s="195"/>
      <c r="BS166" s="197"/>
      <c r="BT166" s="85"/>
      <c r="BU166" s="197"/>
      <c r="BV166" s="198"/>
    </row>
    <row r="167" spans="1:74" s="65" customFormat="1" ht="15" customHeight="1" x14ac:dyDescent="0.25">
      <c r="A167" s="179" t="s">
        <v>459</v>
      </c>
      <c r="B167" s="135" t="s">
        <v>460</v>
      </c>
      <c r="C167" s="136" t="s">
        <v>481</v>
      </c>
      <c r="D167" s="45">
        <v>142</v>
      </c>
      <c r="E167" s="45" t="s">
        <v>409</v>
      </c>
      <c r="F167" s="45" t="s">
        <v>1155</v>
      </c>
      <c r="G167" s="50">
        <v>147536</v>
      </c>
      <c r="H167" s="48" t="s">
        <v>771</v>
      </c>
      <c r="I167" s="49">
        <v>45014</v>
      </c>
      <c r="J167" s="45" t="s">
        <v>1124</v>
      </c>
      <c r="K167" s="45" t="s">
        <v>1125</v>
      </c>
      <c r="L167" s="142" t="s">
        <v>768</v>
      </c>
      <c r="M167" s="143" t="s">
        <v>1262</v>
      </c>
      <c r="N167" s="136">
        <v>76111501</v>
      </c>
      <c r="O167" s="144" t="s">
        <v>1142</v>
      </c>
      <c r="P167" s="145">
        <v>24865357</v>
      </c>
      <c r="Q167" s="145">
        <v>24865357</v>
      </c>
      <c r="R167" s="45">
        <v>28623</v>
      </c>
      <c r="S167" s="48" t="s">
        <v>1040</v>
      </c>
      <c r="T167" s="136" t="s">
        <v>1347</v>
      </c>
      <c r="U167" s="136"/>
      <c r="V167" s="45" t="s">
        <v>1348</v>
      </c>
      <c r="W167" s="137"/>
      <c r="X167" s="45"/>
      <c r="Y167" s="49"/>
      <c r="Z167" s="45"/>
      <c r="AA167" s="45"/>
      <c r="AB167" s="45"/>
      <c r="AC167" s="45"/>
      <c r="AD167" s="146"/>
      <c r="AE167" s="45"/>
      <c r="AF167" s="45"/>
      <c r="AG167" s="45"/>
      <c r="AH167" s="45"/>
      <c r="AI167" s="45"/>
      <c r="AJ167" s="45"/>
      <c r="AK167" s="45" t="s">
        <v>517</v>
      </c>
      <c r="AL167" s="49" t="s">
        <v>517</v>
      </c>
      <c r="AM167" s="48"/>
      <c r="AN167" s="45"/>
      <c r="AO167" s="202" t="s">
        <v>1263</v>
      </c>
      <c r="AP167" s="45"/>
      <c r="AQ167" s="51"/>
      <c r="AR167" s="45"/>
      <c r="AS167" s="148" t="e">
        <f>SUM(AO167+AP167+AQ167+AR167)</f>
        <v>#VALUE!</v>
      </c>
      <c r="AT167" s="45"/>
      <c r="AU167" s="203" t="s">
        <v>1258</v>
      </c>
      <c r="AV167" s="136" t="s">
        <v>74</v>
      </c>
      <c r="AW167" s="49"/>
      <c r="AX167" s="49"/>
      <c r="AY167" s="136">
        <f>(AX167-AW167)</f>
        <v>0</v>
      </c>
      <c r="AZ167" s="204"/>
      <c r="BA167" s="49"/>
      <c r="BB167" s="45"/>
      <c r="BC167" s="45"/>
      <c r="BD167" s="45"/>
      <c r="BE167" s="49"/>
      <c r="BF167" s="45"/>
      <c r="BG167" s="49"/>
      <c r="BH167" s="47"/>
      <c r="BI167" s="45"/>
      <c r="BJ167" s="138" t="e">
        <f>SUM(AS167+BB167+BD167+BF167-BH167)</f>
        <v>#VALUE!</v>
      </c>
      <c r="BK167" s="49"/>
      <c r="BL167" s="45"/>
      <c r="BM167" s="45"/>
      <c r="BN167" s="49"/>
      <c r="BO167" s="45"/>
      <c r="BP167" s="47"/>
      <c r="BQ167" s="49"/>
      <c r="BR167" s="45"/>
      <c r="BS167" s="49"/>
      <c r="BT167" s="45">
        <f>SUM(AY167+BK167+BN167+BQ167)</f>
        <v>0</v>
      </c>
      <c r="BU167" s="45"/>
      <c r="BV167" s="45"/>
    </row>
    <row r="168" spans="1:74" s="65" customFormat="1" ht="15" customHeight="1" x14ac:dyDescent="0.25">
      <c r="A168" s="181" t="s">
        <v>459</v>
      </c>
      <c r="B168" s="80" t="s">
        <v>460</v>
      </c>
      <c r="C168" s="82" t="s">
        <v>54</v>
      </c>
      <c r="D168" s="82">
        <v>168</v>
      </c>
      <c r="E168" s="200" t="s">
        <v>1183</v>
      </c>
      <c r="F168" s="82" t="s">
        <v>795</v>
      </c>
      <c r="G168" s="85" t="s">
        <v>796</v>
      </c>
      <c r="H168" s="82" t="s">
        <v>771</v>
      </c>
      <c r="I168" s="182">
        <v>45015</v>
      </c>
      <c r="J168" s="82" t="s">
        <v>492</v>
      </c>
      <c r="K168" s="82" t="s">
        <v>797</v>
      </c>
      <c r="L168" s="85" t="s">
        <v>340</v>
      </c>
      <c r="M168" s="82" t="s">
        <v>798</v>
      </c>
      <c r="N168" s="85">
        <v>92121500</v>
      </c>
      <c r="O168" s="85" t="s">
        <v>799</v>
      </c>
      <c r="P168" s="172">
        <v>10994809613</v>
      </c>
      <c r="Q168" s="172">
        <v>10222636747</v>
      </c>
      <c r="R168" s="85" t="s">
        <v>800</v>
      </c>
      <c r="S168" s="85" t="s">
        <v>801</v>
      </c>
      <c r="T168" s="82" t="s">
        <v>448</v>
      </c>
      <c r="U168" s="85" t="s">
        <v>1198</v>
      </c>
      <c r="V168" s="85"/>
      <c r="W168" s="85" t="s">
        <v>1388</v>
      </c>
      <c r="X168" s="85" t="s">
        <v>1200</v>
      </c>
      <c r="Y168" s="84">
        <v>45028</v>
      </c>
      <c r="Z168" s="85" t="s">
        <v>1389</v>
      </c>
      <c r="AA168" s="85"/>
      <c r="AB168" s="85" t="s">
        <v>68</v>
      </c>
      <c r="AC168" s="201" t="s">
        <v>1201</v>
      </c>
      <c r="AD168" s="85" t="s">
        <v>1390</v>
      </c>
      <c r="AE168" s="205" t="s">
        <v>1391</v>
      </c>
      <c r="AF168" s="85"/>
      <c r="AG168" s="85"/>
      <c r="AH168" s="85"/>
      <c r="AI168" s="82"/>
      <c r="AJ168" s="82"/>
      <c r="AK168" s="85"/>
      <c r="AL168" s="183"/>
      <c r="AM168" s="85" t="s">
        <v>1392</v>
      </c>
      <c r="AN168" s="171">
        <v>45044</v>
      </c>
      <c r="AO168" s="201">
        <v>5122000000</v>
      </c>
      <c r="AP168" s="85">
        <v>4982000000</v>
      </c>
      <c r="AQ168" s="85"/>
      <c r="AR168" s="85"/>
      <c r="AS168" s="201">
        <v>10104000000</v>
      </c>
      <c r="AT168" s="85" t="s">
        <v>297</v>
      </c>
      <c r="AU168" s="171">
        <v>45044</v>
      </c>
      <c r="AV168" s="85" t="s">
        <v>1204</v>
      </c>
      <c r="AW168" s="171">
        <v>45047</v>
      </c>
      <c r="AX168" s="171">
        <v>45473</v>
      </c>
      <c r="AY168" s="82">
        <f t="shared" ref="AY168" si="21">(AX168-AW168)</f>
        <v>426</v>
      </c>
      <c r="AZ168" s="85" t="s">
        <v>1393</v>
      </c>
      <c r="BA168" s="201">
        <v>52808564</v>
      </c>
      <c r="BB168" s="172"/>
      <c r="BC168" s="171"/>
      <c r="BD168" s="85"/>
      <c r="BE168" s="85"/>
      <c r="BF168" s="85"/>
      <c r="BG168" s="171"/>
      <c r="BH168" s="85"/>
      <c r="BI168" s="171"/>
      <c r="BJ168" s="201">
        <v>10104000000</v>
      </c>
      <c r="BK168" s="85"/>
      <c r="BL168" s="171"/>
      <c r="BM168" s="171"/>
      <c r="BN168" s="85"/>
      <c r="BO168" s="85"/>
      <c r="BP168" s="171"/>
      <c r="BQ168" s="85"/>
      <c r="BR168" s="172"/>
      <c r="BS168" s="171"/>
      <c r="BT168" s="85"/>
      <c r="BU168" s="171"/>
      <c r="BV168" s="85"/>
    </row>
    <row r="169" spans="1:74" s="65" customFormat="1" ht="15" customHeight="1" x14ac:dyDescent="0.25">
      <c r="A169" s="178" t="s">
        <v>459</v>
      </c>
      <c r="B169" s="43" t="s">
        <v>460</v>
      </c>
      <c r="C169" s="45" t="s">
        <v>54</v>
      </c>
      <c r="D169" s="45">
        <v>34</v>
      </c>
      <c r="E169" s="45" t="s">
        <v>55</v>
      </c>
      <c r="F169" s="45" t="s">
        <v>769</v>
      </c>
      <c r="G169" s="48" t="s">
        <v>770</v>
      </c>
      <c r="H169" s="45" t="s">
        <v>771</v>
      </c>
      <c r="I169" s="77">
        <v>45016</v>
      </c>
      <c r="J169" s="45" t="s">
        <v>492</v>
      </c>
      <c r="K169" s="48" t="s">
        <v>730</v>
      </c>
      <c r="L169" s="48" t="s">
        <v>250</v>
      </c>
      <c r="M169" s="45" t="s">
        <v>772</v>
      </c>
      <c r="N169" s="48">
        <v>82111902</v>
      </c>
      <c r="O169" s="48" t="s">
        <v>773</v>
      </c>
      <c r="P169" s="56">
        <v>70000000</v>
      </c>
      <c r="Q169" s="56">
        <v>50677075</v>
      </c>
      <c r="R169" s="48">
        <v>22923</v>
      </c>
      <c r="S169" s="48" t="s">
        <v>63</v>
      </c>
      <c r="T169" s="45" t="s">
        <v>133</v>
      </c>
      <c r="U169" s="48"/>
      <c r="V169" s="48"/>
      <c r="W169" s="48"/>
      <c r="X169" s="48"/>
      <c r="Y169" s="46"/>
      <c r="Z169" s="48"/>
      <c r="AA169" s="48"/>
      <c r="AB169" s="48"/>
      <c r="AC169" s="48"/>
      <c r="AD169" s="48"/>
      <c r="AE169" s="48"/>
      <c r="AF169" s="48"/>
      <c r="AG169" s="48"/>
      <c r="AH169" s="48"/>
      <c r="AI169" s="45"/>
      <c r="AJ169" s="45"/>
      <c r="AK169" s="48"/>
      <c r="AL169" s="58">
        <f ca="1">+YEAR(TODAY())-YEAR(Tabla13[[#This Row],[FECHA DE NACIMIENTO]])</f>
        <v>123</v>
      </c>
      <c r="AM169" s="48"/>
      <c r="AN169" s="61"/>
      <c r="AO169" s="56"/>
      <c r="AP169" s="48"/>
      <c r="AQ169" s="48"/>
      <c r="AR169" s="48"/>
      <c r="AS169" s="51">
        <f>SUM(AO169+AP169+AQ169+AR169)</f>
        <v>0</v>
      </c>
      <c r="AT169" s="48"/>
      <c r="AU169" s="61"/>
      <c r="AV169" s="48"/>
      <c r="AW169" s="61"/>
      <c r="AX169" s="61"/>
      <c r="AY169" s="45">
        <f>(AX169-AW169)</f>
        <v>0</v>
      </c>
      <c r="AZ169" s="48"/>
      <c r="BA169" s="48"/>
      <c r="BB169" s="56"/>
      <c r="BC169" s="61"/>
      <c r="BD169" s="48"/>
      <c r="BE169" s="48"/>
      <c r="BF169" s="48"/>
      <c r="BG169" s="61"/>
      <c r="BH169" s="48"/>
      <c r="BI169" s="61"/>
      <c r="BJ169" s="56"/>
      <c r="BK169" s="48"/>
      <c r="BL169" s="61"/>
      <c r="BM169" s="61"/>
      <c r="BN169" s="48"/>
      <c r="BO169" s="48"/>
      <c r="BP169" s="61"/>
      <c r="BQ169" s="48"/>
      <c r="BR169" s="56"/>
      <c r="BS169" s="61"/>
      <c r="BT169" s="48"/>
      <c r="BU169" s="61"/>
      <c r="BV169" s="48"/>
    </row>
    <row r="170" spans="1:74" s="65" customFormat="1" ht="15" customHeight="1" x14ac:dyDescent="0.25">
      <c r="A170" s="178" t="s">
        <v>459</v>
      </c>
      <c r="B170" s="43" t="s">
        <v>460</v>
      </c>
      <c r="C170" s="45" t="s">
        <v>54</v>
      </c>
      <c r="D170" s="45">
        <v>82</v>
      </c>
      <c r="E170" s="45" t="s">
        <v>55</v>
      </c>
      <c r="F170" s="45" t="s">
        <v>786</v>
      </c>
      <c r="G170" s="48" t="s">
        <v>787</v>
      </c>
      <c r="H170" s="45" t="s">
        <v>771</v>
      </c>
      <c r="I170" s="77">
        <v>45016</v>
      </c>
      <c r="J170" s="45" t="s">
        <v>492</v>
      </c>
      <c r="K170" s="45" t="s">
        <v>493</v>
      </c>
      <c r="L170" s="48" t="s">
        <v>225</v>
      </c>
      <c r="M170" s="45" t="s">
        <v>788</v>
      </c>
      <c r="N170" s="48">
        <v>81111500</v>
      </c>
      <c r="O170" s="48" t="s">
        <v>789</v>
      </c>
      <c r="P170" s="56">
        <v>1539604000</v>
      </c>
      <c r="Q170" s="56">
        <v>1409169015</v>
      </c>
      <c r="R170" s="48">
        <v>30823</v>
      </c>
      <c r="S170" s="48" t="s">
        <v>89</v>
      </c>
      <c r="T170" s="45" t="s">
        <v>448</v>
      </c>
      <c r="U170" s="48"/>
      <c r="V170" s="48"/>
      <c r="W170" s="48"/>
      <c r="X170" s="48"/>
      <c r="Y170" s="46"/>
      <c r="Z170" s="48"/>
      <c r="AA170" s="48"/>
      <c r="AB170" s="48"/>
      <c r="AC170" s="48"/>
      <c r="AD170" s="48"/>
      <c r="AE170" s="48"/>
      <c r="AF170" s="48"/>
      <c r="AG170" s="48"/>
      <c r="AH170" s="48"/>
      <c r="AI170" s="45"/>
      <c r="AJ170" s="45"/>
      <c r="AK170" s="48"/>
      <c r="AL170" s="58">
        <f ca="1">+YEAR(TODAY())-YEAR(Tabla13[[#This Row],[FECHA DE NACIMIENTO]])</f>
        <v>123</v>
      </c>
      <c r="AM170" s="48"/>
      <c r="AN170" s="61"/>
      <c r="AO170" s="56"/>
      <c r="AP170" s="48"/>
      <c r="AQ170" s="48"/>
      <c r="AR170" s="48"/>
      <c r="AS170" s="133"/>
      <c r="AT170" s="48"/>
      <c r="AU170" s="61"/>
      <c r="AV170" s="48"/>
      <c r="AW170" s="61"/>
      <c r="AX170" s="61"/>
      <c r="AY170" s="45">
        <f>(AX170-AW170)</f>
        <v>0</v>
      </c>
      <c r="AZ170" s="48"/>
      <c r="BA170" s="48"/>
      <c r="BB170" s="56"/>
      <c r="BC170" s="61"/>
      <c r="BD170" s="48"/>
      <c r="BE170" s="48"/>
      <c r="BF170" s="48"/>
      <c r="BG170" s="61"/>
      <c r="BH170" s="48"/>
      <c r="BI170" s="61"/>
      <c r="BJ170" s="56"/>
      <c r="BK170" s="48"/>
      <c r="BL170" s="61"/>
      <c r="BM170" s="61"/>
      <c r="BN170" s="48"/>
      <c r="BO170" s="48"/>
      <c r="BP170" s="61"/>
      <c r="BQ170" s="48"/>
      <c r="BR170" s="56"/>
      <c r="BS170" s="61"/>
      <c r="BT170" s="48"/>
      <c r="BU170" s="61"/>
      <c r="BV170" s="48"/>
    </row>
    <row r="171" spans="1:74" ht="15" customHeight="1" x14ac:dyDescent="0.25">
      <c r="A171" s="178" t="s">
        <v>459</v>
      </c>
      <c r="B171" s="43" t="s">
        <v>460</v>
      </c>
      <c r="C171" s="45" t="s">
        <v>54</v>
      </c>
      <c r="D171" s="45">
        <v>231</v>
      </c>
      <c r="E171" s="45" t="s">
        <v>55</v>
      </c>
      <c r="F171" s="45" t="s">
        <v>803</v>
      </c>
      <c r="G171" s="48" t="s">
        <v>802</v>
      </c>
      <c r="H171" s="45" t="s">
        <v>771</v>
      </c>
      <c r="I171" s="77">
        <v>45016</v>
      </c>
      <c r="J171" s="45" t="s">
        <v>503</v>
      </c>
      <c r="K171" s="45" t="s">
        <v>503</v>
      </c>
      <c r="L171" s="48" t="s">
        <v>313</v>
      </c>
      <c r="M171" s="45" t="s">
        <v>804</v>
      </c>
      <c r="N171" s="48">
        <v>32151800</v>
      </c>
      <c r="O171" s="48" t="s">
        <v>805</v>
      </c>
      <c r="P171" s="56">
        <v>2735217031</v>
      </c>
      <c r="Q171" s="56">
        <v>2735217031</v>
      </c>
      <c r="R171" s="48">
        <v>28223</v>
      </c>
      <c r="S171" s="48" t="s">
        <v>89</v>
      </c>
      <c r="T171" s="45" t="s">
        <v>448</v>
      </c>
      <c r="U171" s="48"/>
      <c r="V171" s="48"/>
      <c r="W171" s="48"/>
      <c r="X171" s="48"/>
      <c r="Y171" s="46"/>
      <c r="Z171" s="48"/>
      <c r="AA171" s="48"/>
      <c r="AB171" s="48"/>
      <c r="AC171" s="48"/>
      <c r="AD171" s="48"/>
      <c r="AE171" s="48"/>
      <c r="AF171" s="48"/>
      <c r="AG171" s="48"/>
      <c r="AH171" s="48"/>
      <c r="AI171" s="45"/>
      <c r="AJ171" s="45"/>
      <c r="AK171" s="48"/>
      <c r="AL171" s="58">
        <f ca="1">+YEAR(TODAY())-YEAR(Tabla13[[#This Row],[FECHA DE NACIMIENTO]])</f>
        <v>123</v>
      </c>
      <c r="AM171" s="48"/>
      <c r="AN171" s="61"/>
      <c r="AO171" s="56"/>
      <c r="AP171" s="48"/>
      <c r="AQ171" s="48"/>
      <c r="AR171" s="48"/>
      <c r="AS171" s="133"/>
      <c r="AT171" s="48"/>
      <c r="AU171" s="61"/>
      <c r="AV171" s="48"/>
      <c r="AW171" s="61"/>
      <c r="AX171" s="61"/>
      <c r="AY171" s="45">
        <f>(AX171-AW171)</f>
        <v>0</v>
      </c>
      <c r="AZ171" s="48"/>
      <c r="BA171" s="48"/>
      <c r="BB171" s="56"/>
      <c r="BC171" s="61"/>
      <c r="BD171" s="48"/>
      <c r="BE171" s="48"/>
      <c r="BF171" s="48"/>
      <c r="BG171" s="61"/>
      <c r="BH171" s="48"/>
      <c r="BI171" s="61"/>
      <c r="BJ171" s="56"/>
      <c r="BK171" s="48"/>
      <c r="BL171" s="61"/>
      <c r="BM171" s="61"/>
      <c r="BN171" s="48"/>
      <c r="BO171" s="48"/>
      <c r="BP171" s="61"/>
      <c r="BQ171" s="48"/>
      <c r="BR171" s="56"/>
      <c r="BS171" s="61"/>
      <c r="BT171" s="48"/>
      <c r="BU171" s="61"/>
      <c r="BV171" s="60"/>
    </row>
    <row r="172" spans="1:74" s="65" customFormat="1" ht="15" customHeight="1" x14ac:dyDescent="0.25">
      <c r="A172" s="178" t="s">
        <v>459</v>
      </c>
      <c r="B172" s="43" t="s">
        <v>460</v>
      </c>
      <c r="C172" s="45" t="s">
        <v>54</v>
      </c>
      <c r="D172" s="48">
        <v>276</v>
      </c>
      <c r="E172" s="45" t="s">
        <v>221</v>
      </c>
      <c r="F172" s="48" t="s">
        <v>868</v>
      </c>
      <c r="G172" s="61" t="s">
        <v>869</v>
      </c>
      <c r="H172" s="48" t="s">
        <v>771</v>
      </c>
      <c r="I172" s="77">
        <v>45016</v>
      </c>
      <c r="J172" s="48" t="s">
        <v>1108</v>
      </c>
      <c r="K172" s="48" t="s">
        <v>1109</v>
      </c>
      <c r="L172" s="45" t="s">
        <v>61</v>
      </c>
      <c r="M172" s="45" t="s">
        <v>870</v>
      </c>
      <c r="N172" s="56" t="s">
        <v>871</v>
      </c>
      <c r="O172" s="47" t="s">
        <v>872</v>
      </c>
      <c r="P172" s="56">
        <v>100000000</v>
      </c>
      <c r="Q172" s="56">
        <v>100000000</v>
      </c>
      <c r="R172" s="48">
        <v>26323</v>
      </c>
      <c r="S172" s="48" t="s">
        <v>597</v>
      </c>
      <c r="T172" s="45" t="s">
        <v>516</v>
      </c>
      <c r="U172" s="45" t="s">
        <v>517</v>
      </c>
      <c r="V172" s="48"/>
      <c r="W172" s="61"/>
      <c r="X172" s="48"/>
      <c r="Y172" s="61"/>
      <c r="Z172" s="48"/>
      <c r="AA172" s="48"/>
      <c r="AB172" s="48"/>
      <c r="AC172" s="48"/>
      <c r="AD172" s="48"/>
      <c r="AE172" s="48"/>
      <c r="AF172" s="48"/>
      <c r="AG172" s="48"/>
      <c r="AH172" s="48"/>
      <c r="AI172" s="45"/>
      <c r="AJ172" s="45"/>
      <c r="AK172" s="49"/>
      <c r="AL172" s="58" t="e">
        <f ca="1">+YEAR(TODAY())-YEAR([3]!Tabla1[[#This Row],[FECHA DE NACIMIENTO]])</f>
        <v>#REF!</v>
      </c>
      <c r="AM172" s="45"/>
      <c r="AN172" s="74"/>
      <c r="AO172" s="56"/>
      <c r="AP172" s="48"/>
      <c r="AQ172" s="59"/>
      <c r="AR172" s="48"/>
      <c r="AS172" s="133"/>
      <c r="AT172" s="48"/>
      <c r="AU172" s="61"/>
      <c r="AV172" s="61"/>
      <c r="AW172" s="61"/>
      <c r="AX172" s="74"/>
      <c r="AY172" s="45">
        <f>(AX172-AW172)</f>
        <v>0</v>
      </c>
      <c r="AZ172" s="56"/>
      <c r="BA172" s="45"/>
      <c r="BB172" s="56"/>
      <c r="BC172" s="61"/>
      <c r="BD172" s="48"/>
      <c r="BE172" s="61"/>
      <c r="BF172" s="48"/>
      <c r="BG172" s="61"/>
      <c r="BH172" s="56"/>
      <c r="BI172" s="61"/>
      <c r="BJ172" s="56"/>
      <c r="BK172" s="61"/>
      <c r="BL172" s="61"/>
      <c r="BM172" s="61"/>
      <c r="BN172" s="61"/>
      <c r="BO172" s="48"/>
      <c r="BP172" s="61"/>
      <c r="BQ172" s="61"/>
      <c r="BR172" s="56"/>
      <c r="BS172" s="61"/>
      <c r="BT172" s="48"/>
      <c r="BU172" s="61"/>
      <c r="BV172" s="48"/>
    </row>
    <row r="173" spans="1:74" s="65" customFormat="1" ht="15" customHeight="1" x14ac:dyDescent="0.25">
      <c r="A173" s="178" t="s">
        <v>459</v>
      </c>
      <c r="B173" s="43" t="s">
        <v>460</v>
      </c>
      <c r="C173" s="45" t="s">
        <v>54</v>
      </c>
      <c r="D173" s="48">
        <v>255</v>
      </c>
      <c r="E173" s="48" t="s">
        <v>345</v>
      </c>
      <c r="F173" s="48" t="s">
        <v>926</v>
      </c>
      <c r="G173" s="61" t="s">
        <v>927</v>
      </c>
      <c r="H173" s="48" t="s">
        <v>771</v>
      </c>
      <c r="I173" s="77">
        <v>45016</v>
      </c>
      <c r="J173" s="48" t="s">
        <v>1108</v>
      </c>
      <c r="K173" s="45" t="s">
        <v>493</v>
      </c>
      <c r="L173" s="48" t="s">
        <v>928</v>
      </c>
      <c r="M173" s="48" t="s">
        <v>929</v>
      </c>
      <c r="N173" s="48">
        <v>84121804</v>
      </c>
      <c r="O173" s="56" t="s">
        <v>930</v>
      </c>
      <c r="P173" s="56">
        <v>120000000</v>
      </c>
      <c r="Q173" s="56">
        <v>120000000</v>
      </c>
      <c r="R173" s="48">
        <v>24923</v>
      </c>
      <c r="S173" s="48" t="s">
        <v>931</v>
      </c>
      <c r="T173" s="48" t="s">
        <v>516</v>
      </c>
      <c r="U173" s="48"/>
      <c r="V173" s="48"/>
      <c r="W173" s="61"/>
      <c r="X173" s="48"/>
      <c r="Y173" s="61"/>
      <c r="Z173" s="48" t="s">
        <v>932</v>
      </c>
      <c r="AA173" s="48"/>
      <c r="AB173" s="48"/>
      <c r="AC173" s="48"/>
      <c r="AD173" s="48"/>
      <c r="AE173" s="48"/>
      <c r="AF173" s="48"/>
      <c r="AG173" s="48"/>
      <c r="AH173" s="48"/>
      <c r="AI173" s="45"/>
      <c r="AJ173" s="45"/>
      <c r="AK173" s="48"/>
      <c r="AL173" s="58" t="e">
        <f ca="1">+YEAR(TODAY())-YEAR([6]!Tabla1[[#This Row],[FECHA DE NACIMIENTO]])</f>
        <v>#REF!</v>
      </c>
      <c r="AM173" s="56"/>
      <c r="AN173" s="61"/>
      <c r="AO173" s="56"/>
      <c r="AP173" s="48"/>
      <c r="AQ173" s="59"/>
      <c r="AR173" s="48"/>
      <c r="AS173" s="59"/>
      <c r="AT173" s="48"/>
      <c r="AU173" s="61"/>
      <c r="AV173" s="61"/>
      <c r="AW173" s="61"/>
      <c r="AX173" s="61"/>
      <c r="AY173" s="45">
        <f>(AX173-AW173)</f>
        <v>0</v>
      </c>
      <c r="AZ173" s="56"/>
      <c r="BA173" s="61"/>
      <c r="BB173" s="56"/>
      <c r="BC173" s="61"/>
      <c r="BD173" s="48"/>
      <c r="BE173" s="61"/>
      <c r="BF173" s="48"/>
      <c r="BG173" s="61"/>
      <c r="BH173" s="56"/>
      <c r="BI173" s="61"/>
      <c r="BJ173" s="47" t="e">
        <f>([6]!Tabla1[[#This Row],[VALOR TOTAL CONTRATO + VF]]+[6]!Tabla1[[#This Row],[ADICION 1 ]]+[6]!Tabla1[[#This Row],[ADICION 2]]-[6]!Tabla1[[#This Row],[LIBERACION]])</f>
        <v>#REF!</v>
      </c>
      <c r="BK173" s="61"/>
      <c r="BL173" s="61"/>
      <c r="BM173" s="61"/>
      <c r="BN173" s="61"/>
      <c r="BO173" s="48"/>
      <c r="BP173" s="61"/>
      <c r="BQ173" s="61"/>
      <c r="BR173" s="56"/>
      <c r="BS173" s="61"/>
      <c r="BT173" s="45">
        <f>SUM(AY173+BK173+BN173+BQ173)</f>
        <v>0</v>
      </c>
      <c r="BU173" s="61"/>
      <c r="BV173" s="48"/>
    </row>
    <row r="174" spans="1:74" s="65" customFormat="1" ht="15" customHeight="1" x14ac:dyDescent="0.25">
      <c r="A174" s="178" t="s">
        <v>459</v>
      </c>
      <c r="B174" s="43" t="s">
        <v>460</v>
      </c>
      <c r="C174" s="45" t="s">
        <v>54</v>
      </c>
      <c r="D174" s="48">
        <v>259</v>
      </c>
      <c r="E174" s="45" t="s">
        <v>344</v>
      </c>
      <c r="F174" s="48" t="s">
        <v>1102</v>
      </c>
      <c r="G174" s="61" t="s">
        <v>1103</v>
      </c>
      <c r="H174" s="48" t="s">
        <v>771</v>
      </c>
      <c r="I174" s="74">
        <v>45016</v>
      </c>
      <c r="J174" s="48" t="s">
        <v>1035</v>
      </c>
      <c r="K174" s="48" t="s">
        <v>1104</v>
      </c>
      <c r="L174" s="45" t="s">
        <v>652</v>
      </c>
      <c r="M174" s="45" t="s">
        <v>1105</v>
      </c>
      <c r="N174" s="48" t="s">
        <v>1106</v>
      </c>
      <c r="O174" s="56" t="s">
        <v>1107</v>
      </c>
      <c r="P174" s="56">
        <v>20000000</v>
      </c>
      <c r="Q174" s="56">
        <v>20000000</v>
      </c>
      <c r="R174" s="48">
        <v>24723</v>
      </c>
      <c r="S174" s="48" t="s">
        <v>500</v>
      </c>
      <c r="T174" s="48" t="s">
        <v>448</v>
      </c>
      <c r="U174" s="48" t="s">
        <v>517</v>
      </c>
      <c r="V174" s="48"/>
      <c r="W174" s="61"/>
      <c r="X174" s="48"/>
      <c r="Y174" s="61"/>
      <c r="Z174" s="48" t="s">
        <v>1042</v>
      </c>
      <c r="AA174" s="48"/>
      <c r="AB174" s="45" t="s">
        <v>68</v>
      </c>
      <c r="AC174" s="45" t="s">
        <v>69</v>
      </c>
      <c r="AD174" s="48"/>
      <c r="AE174" s="48"/>
      <c r="AF174" s="48"/>
      <c r="AG174" s="45" t="s">
        <v>517</v>
      </c>
      <c r="AH174" s="45" t="s">
        <v>551</v>
      </c>
      <c r="AI174" s="45"/>
      <c r="AJ174" s="45"/>
      <c r="AK174" s="48"/>
      <c r="AL174" s="58" t="e">
        <f ca="1">+YEAR(TODAY())-YEAR([5]!Tabla1[[#This Row],[FECHA DE NACIMIENTO]])</f>
        <v>#REF!</v>
      </c>
      <c r="AM174" s="56"/>
      <c r="AN174" s="61"/>
      <c r="AO174" s="56"/>
      <c r="AP174" s="48"/>
      <c r="AQ174" s="59"/>
      <c r="AR174" s="48"/>
      <c r="AS174" s="59"/>
      <c r="AT174" s="48"/>
      <c r="AU174" s="206"/>
      <c r="AV174" s="61"/>
      <c r="AW174" s="61"/>
      <c r="AX174" s="61"/>
      <c r="AY174" s="48"/>
      <c r="AZ174" s="56"/>
      <c r="BA174" s="61"/>
      <c r="BB174" s="56"/>
      <c r="BC174" s="61"/>
      <c r="BD174" s="48"/>
      <c r="BE174" s="61"/>
      <c r="BF174" s="48"/>
      <c r="BG174" s="61"/>
      <c r="BH174" s="56"/>
      <c r="BI174" s="61"/>
      <c r="BJ174" s="56"/>
      <c r="BK174" s="61"/>
      <c r="BL174" s="61"/>
      <c r="BM174" s="61"/>
      <c r="BN174" s="61"/>
      <c r="BO174" s="48"/>
      <c r="BP174" s="61"/>
      <c r="BQ174" s="61"/>
      <c r="BR174" s="56"/>
      <c r="BS174" s="61"/>
      <c r="BT174" s="48"/>
      <c r="BU174" s="61"/>
      <c r="BV174" s="48"/>
    </row>
    <row r="175" spans="1:74" s="65" customFormat="1" ht="15" customHeight="1" x14ac:dyDescent="0.25">
      <c r="A175" s="136" t="s">
        <v>459</v>
      </c>
      <c r="B175" s="136" t="s">
        <v>460</v>
      </c>
      <c r="C175" s="136" t="s">
        <v>481</v>
      </c>
      <c r="D175" s="45">
        <v>137</v>
      </c>
      <c r="E175" s="45" t="s">
        <v>409</v>
      </c>
      <c r="F175" s="45" t="s">
        <v>1150</v>
      </c>
      <c r="G175" s="50">
        <v>147290</v>
      </c>
      <c r="H175" s="48" t="s">
        <v>771</v>
      </c>
      <c r="I175" s="49">
        <v>45016</v>
      </c>
      <c r="J175" s="45" t="s">
        <v>1124</v>
      </c>
      <c r="K175" s="45" t="s">
        <v>1125</v>
      </c>
      <c r="L175" s="142" t="s">
        <v>768</v>
      </c>
      <c r="M175" s="143" t="s">
        <v>1298</v>
      </c>
      <c r="N175" s="136">
        <v>76111501</v>
      </c>
      <c r="O175" s="144" t="s">
        <v>1142</v>
      </c>
      <c r="P175" s="145">
        <v>72412041</v>
      </c>
      <c r="Q175" s="145">
        <v>72412041</v>
      </c>
      <c r="R175" s="45">
        <v>28623</v>
      </c>
      <c r="S175" s="48" t="s">
        <v>1040</v>
      </c>
      <c r="T175" s="136" t="s">
        <v>64</v>
      </c>
      <c r="U175" s="136" t="s">
        <v>65</v>
      </c>
      <c r="V175" s="45"/>
      <c r="W175" s="137">
        <v>108012</v>
      </c>
      <c r="X175" s="45" t="s">
        <v>1253</v>
      </c>
      <c r="Y175" s="49">
        <v>45035</v>
      </c>
      <c r="Z175" s="45" t="s">
        <v>1254</v>
      </c>
      <c r="AA175" s="45"/>
      <c r="AB175" s="45" t="s">
        <v>1299</v>
      </c>
      <c r="AC175" s="45" t="s">
        <v>1300</v>
      </c>
      <c r="AD175" s="146" t="s">
        <v>1296</v>
      </c>
      <c r="AE175" s="45">
        <v>900240753</v>
      </c>
      <c r="AF175" s="45">
        <v>1</v>
      </c>
      <c r="AG175" s="45" t="s">
        <v>517</v>
      </c>
      <c r="AH175" s="189" t="s">
        <v>297</v>
      </c>
      <c r="AI175" s="45"/>
      <c r="AJ175" s="45"/>
      <c r="AK175" s="45" t="s">
        <v>517</v>
      </c>
      <c r="AL175" s="49" t="s">
        <v>517</v>
      </c>
      <c r="AM175" s="48"/>
      <c r="AN175" s="49"/>
      <c r="AO175" s="147">
        <v>66859366.390000001</v>
      </c>
      <c r="AP175" s="45"/>
      <c r="AQ175" s="51"/>
      <c r="AR175" s="45"/>
      <c r="AS175" s="148">
        <f>SUM(AO175+AP175+AQ175+AR175)</f>
        <v>66859366.390000001</v>
      </c>
      <c r="AT175" s="45" t="s">
        <v>297</v>
      </c>
      <c r="AU175" s="49">
        <v>45041</v>
      </c>
      <c r="AV175" s="136" t="s">
        <v>74</v>
      </c>
      <c r="AW175" s="49">
        <v>45035</v>
      </c>
      <c r="AX175" s="49">
        <v>45291</v>
      </c>
      <c r="AY175" s="136">
        <f>(AX175-AW175)</f>
        <v>256</v>
      </c>
      <c r="AZ175" s="149" t="s">
        <v>1301</v>
      </c>
      <c r="BA175" s="136">
        <v>79448817</v>
      </c>
      <c r="BB175" s="45"/>
      <c r="BC175" s="45"/>
      <c r="BD175" s="45"/>
      <c r="BE175" s="49"/>
      <c r="BF175" s="45"/>
      <c r="BG175" s="49"/>
      <c r="BH175" s="47"/>
      <c r="BI175" s="45"/>
      <c r="BJ175" s="138">
        <f>SUM(AS175+BB175+BD175+BF175-BH175)</f>
        <v>66859366.390000001</v>
      </c>
      <c r="BK175" s="49"/>
      <c r="BL175" s="45"/>
      <c r="BM175" s="45"/>
      <c r="BN175" s="49"/>
      <c r="BO175" s="45"/>
      <c r="BP175" s="47"/>
      <c r="BQ175" s="49"/>
      <c r="BR175" s="45"/>
      <c r="BS175" s="49"/>
      <c r="BT175" s="45">
        <f>SUM(AY175+BK175+BN175+BQ175)</f>
        <v>256</v>
      </c>
      <c r="BU175" s="45"/>
      <c r="BV175" s="45"/>
    </row>
    <row r="176" spans="1:74" s="65" customFormat="1" ht="15" customHeight="1" x14ac:dyDescent="0.25">
      <c r="A176" s="48" t="s">
        <v>459</v>
      </c>
      <c r="B176" s="48" t="s">
        <v>460</v>
      </c>
      <c r="C176" s="45" t="s">
        <v>54</v>
      </c>
      <c r="D176" s="48">
        <v>83</v>
      </c>
      <c r="E176" s="45" t="s">
        <v>221</v>
      </c>
      <c r="F176" s="45" t="s">
        <v>1227</v>
      </c>
      <c r="G176" s="61" t="s">
        <v>1228</v>
      </c>
      <c r="H176" s="48" t="s">
        <v>1159</v>
      </c>
      <c r="I176" s="77">
        <v>45043</v>
      </c>
      <c r="J176" s="45" t="s">
        <v>534</v>
      </c>
      <c r="K176" s="48" t="s">
        <v>856</v>
      </c>
      <c r="L176" s="45" t="s">
        <v>86</v>
      </c>
      <c r="M176" s="45" t="s">
        <v>1229</v>
      </c>
      <c r="N176" s="45" t="s">
        <v>1230</v>
      </c>
      <c r="O176" s="45" t="s">
        <v>1231</v>
      </c>
      <c r="P176" s="56">
        <v>45000000</v>
      </c>
      <c r="Q176" s="56">
        <v>45000000</v>
      </c>
      <c r="R176" s="48">
        <v>33923</v>
      </c>
      <c r="S176" s="48" t="s">
        <v>89</v>
      </c>
      <c r="T176" s="45" t="s">
        <v>516</v>
      </c>
      <c r="U176" s="45" t="s">
        <v>517</v>
      </c>
      <c r="V176" s="48"/>
      <c r="W176" s="61"/>
      <c r="X176" s="45"/>
      <c r="Y176" s="61"/>
      <c r="Z176" s="48"/>
      <c r="AA176" s="48"/>
      <c r="AB176" s="48"/>
      <c r="AC176" s="48"/>
      <c r="AD176" s="48"/>
      <c r="AE176" s="48"/>
      <c r="AF176" s="48"/>
      <c r="AG176" s="48"/>
      <c r="AH176" s="48"/>
      <c r="AI176" s="45"/>
      <c r="AJ176" s="45"/>
      <c r="AK176" s="61"/>
      <c r="AL176" s="58"/>
      <c r="AM176" s="45"/>
      <c r="AN176" s="61"/>
      <c r="AO176" s="56"/>
      <c r="AP176" s="48"/>
      <c r="AQ176" s="59"/>
      <c r="AR176" s="48"/>
      <c r="AS176" s="133"/>
      <c r="AT176" s="48"/>
      <c r="AU176" s="61"/>
      <c r="AV176" s="61"/>
      <c r="AW176" s="61"/>
      <c r="AX176" s="61"/>
      <c r="AY176" s="45"/>
      <c r="AZ176" s="56"/>
      <c r="BA176" s="45"/>
      <c r="BB176" s="56"/>
      <c r="BC176" s="61"/>
      <c r="BD176" s="48"/>
      <c r="BE176" s="61"/>
      <c r="BF176" s="48"/>
      <c r="BG176" s="61"/>
      <c r="BH176" s="56"/>
      <c r="BI176" s="61"/>
      <c r="BJ176" s="47"/>
      <c r="BK176" s="61"/>
      <c r="BL176" s="61"/>
      <c r="BM176" s="61"/>
      <c r="BN176" s="61"/>
      <c r="BO176" s="48"/>
      <c r="BP176" s="61"/>
      <c r="BQ176" s="61"/>
      <c r="BR176" s="56"/>
      <c r="BS176" s="61"/>
      <c r="BT176" s="45"/>
      <c r="BU176" s="61"/>
      <c r="BV176" s="48"/>
    </row>
    <row r="177" spans="1:74" s="65" customFormat="1" ht="15" customHeight="1" x14ac:dyDescent="0.25">
      <c r="A177" s="136" t="s">
        <v>459</v>
      </c>
      <c r="B177" s="136" t="s">
        <v>460</v>
      </c>
      <c r="C177" s="136" t="s">
        <v>481</v>
      </c>
      <c r="D177" s="45">
        <v>127</v>
      </c>
      <c r="E177" s="45" t="s">
        <v>409</v>
      </c>
      <c r="F177" s="45" t="s">
        <v>1250</v>
      </c>
      <c r="G177" s="50">
        <v>148368</v>
      </c>
      <c r="H177" s="57" t="s">
        <v>1159</v>
      </c>
      <c r="I177" s="49">
        <v>45027</v>
      </c>
      <c r="J177" s="45" t="s">
        <v>1124</v>
      </c>
      <c r="K177" s="45" t="s">
        <v>1125</v>
      </c>
      <c r="L177" s="136" t="s">
        <v>768</v>
      </c>
      <c r="M177" s="48" t="s">
        <v>1251</v>
      </c>
      <c r="N177" s="136">
        <v>76111501</v>
      </c>
      <c r="O177" s="151" t="s">
        <v>1142</v>
      </c>
      <c r="P177" s="145">
        <v>189479231.19999999</v>
      </c>
      <c r="Q177" s="145">
        <v>189479231.19999999</v>
      </c>
      <c r="R177" s="45">
        <v>28623</v>
      </c>
      <c r="S177" s="48" t="s">
        <v>1040</v>
      </c>
      <c r="T177" s="136" t="s">
        <v>64</v>
      </c>
      <c r="U177" s="136" t="s">
        <v>1252</v>
      </c>
      <c r="V177" s="45"/>
      <c r="W177" s="137">
        <v>108707</v>
      </c>
      <c r="X177" s="45" t="s">
        <v>1253</v>
      </c>
      <c r="Y177" s="49">
        <v>45045</v>
      </c>
      <c r="Z177" s="45" t="s">
        <v>1254</v>
      </c>
      <c r="AA177" s="45"/>
      <c r="AB177" s="45" t="s">
        <v>1255</v>
      </c>
      <c r="AC177" s="45" t="s">
        <v>1256</v>
      </c>
      <c r="AD177" s="146" t="s">
        <v>1257</v>
      </c>
      <c r="AE177" s="45">
        <v>901676833</v>
      </c>
      <c r="AF177" s="45">
        <v>8</v>
      </c>
      <c r="AG177" s="45" t="s">
        <v>517</v>
      </c>
      <c r="AH177" s="45"/>
      <c r="AI177" s="45"/>
      <c r="AJ177" s="45"/>
      <c r="AK177" s="45" t="s">
        <v>517</v>
      </c>
      <c r="AL177" s="49" t="s">
        <v>517</v>
      </c>
      <c r="AM177" s="48"/>
      <c r="AN177" s="45"/>
      <c r="AO177" s="207"/>
      <c r="AP177" s="45"/>
      <c r="AQ177" s="51"/>
      <c r="AR177" s="45"/>
      <c r="AS177" s="208">
        <f>SUM(AO177+AP177+AQ177+AR177)</f>
        <v>0</v>
      </c>
      <c r="AT177" s="45"/>
      <c r="AU177" s="203" t="s">
        <v>1258</v>
      </c>
      <c r="AV177" s="136" t="s">
        <v>74</v>
      </c>
      <c r="AW177" s="49"/>
      <c r="AX177" s="49"/>
      <c r="AY177" s="136">
        <f>(AX177-AW177)</f>
        <v>0</v>
      </c>
      <c r="AZ177" s="149"/>
      <c r="BA177" s="49"/>
      <c r="BB177" s="45"/>
      <c r="BC177" s="45"/>
      <c r="BD177" s="45"/>
      <c r="BE177" s="49"/>
      <c r="BF177" s="45"/>
      <c r="BG177" s="49"/>
      <c r="BH177" s="47"/>
      <c r="BI177" s="45"/>
      <c r="BJ177" s="138">
        <f>SUM(AS177+BB177+BD177+BF177-BH177)</f>
        <v>0</v>
      </c>
      <c r="BK177" s="49"/>
      <c r="BL177" s="45"/>
      <c r="BM177" s="45"/>
      <c r="BN177" s="49"/>
      <c r="BO177" s="45"/>
      <c r="BP177" s="47"/>
      <c r="BQ177" s="49"/>
      <c r="BR177" s="45"/>
      <c r="BS177" s="49"/>
      <c r="BT177" s="45">
        <f>SUM(AY177+BK177+BN177+BQ177)</f>
        <v>0</v>
      </c>
      <c r="BU177" s="45"/>
      <c r="BV177" s="45"/>
    </row>
    <row r="178" spans="1:74" s="65" customFormat="1" ht="15" customHeight="1" x14ac:dyDescent="0.25">
      <c r="A178" s="48" t="s">
        <v>459</v>
      </c>
      <c r="B178" s="48" t="s">
        <v>460</v>
      </c>
      <c r="C178" s="45" t="s">
        <v>54</v>
      </c>
      <c r="D178" s="48">
        <v>171</v>
      </c>
      <c r="E178" s="45" t="s">
        <v>221</v>
      </c>
      <c r="F178" s="45" t="s">
        <v>1227</v>
      </c>
      <c r="G178" s="61" t="s">
        <v>1232</v>
      </c>
      <c r="H178" s="48" t="s">
        <v>1159</v>
      </c>
      <c r="I178" s="77">
        <v>45043</v>
      </c>
      <c r="J178" s="45" t="s">
        <v>534</v>
      </c>
      <c r="K178" s="48" t="s">
        <v>1233</v>
      </c>
      <c r="L178" s="45" t="s">
        <v>61</v>
      </c>
      <c r="M178" s="45" t="s">
        <v>1234</v>
      </c>
      <c r="N178" s="48">
        <v>78181507</v>
      </c>
      <c r="O178" s="56" t="s">
        <v>1235</v>
      </c>
      <c r="P178" s="56">
        <v>45000000</v>
      </c>
      <c r="Q178" s="56">
        <v>45000000</v>
      </c>
      <c r="R178" s="48">
        <v>30923</v>
      </c>
      <c r="S178" s="48" t="s">
        <v>500</v>
      </c>
      <c r="T178" s="45" t="s">
        <v>516</v>
      </c>
      <c r="U178" s="45" t="s">
        <v>517</v>
      </c>
      <c r="V178" s="48"/>
      <c r="W178" s="61"/>
      <c r="X178" s="45"/>
      <c r="Y178" s="61"/>
      <c r="Z178" s="48"/>
      <c r="AA178" s="48"/>
      <c r="AB178" s="48"/>
      <c r="AC178" s="48"/>
      <c r="AD178" s="48"/>
      <c r="AE178" s="48"/>
      <c r="AF178" s="48"/>
      <c r="AG178" s="48"/>
      <c r="AH178" s="48"/>
      <c r="AI178" s="45"/>
      <c r="AJ178" s="45"/>
      <c r="AK178" s="61"/>
      <c r="AL178" s="58"/>
      <c r="AM178" s="45"/>
      <c r="AN178" s="61"/>
      <c r="AO178" s="56"/>
      <c r="AP178" s="48"/>
      <c r="AQ178" s="59"/>
      <c r="AR178" s="48"/>
      <c r="AS178" s="133"/>
      <c r="AT178" s="48"/>
      <c r="AU178" s="61"/>
      <c r="AV178" s="61"/>
      <c r="AW178" s="61"/>
      <c r="AX178" s="61"/>
      <c r="AY178" s="45"/>
      <c r="AZ178" s="56"/>
      <c r="BA178" s="45"/>
      <c r="BB178" s="56"/>
      <c r="BC178" s="61"/>
      <c r="BD178" s="48"/>
      <c r="BE178" s="61"/>
      <c r="BF178" s="48"/>
      <c r="BG178" s="61"/>
      <c r="BH178" s="56"/>
      <c r="BI178" s="61"/>
      <c r="BJ178" s="47"/>
      <c r="BK178" s="61"/>
      <c r="BL178" s="61"/>
      <c r="BM178" s="61"/>
      <c r="BN178" s="61"/>
      <c r="BO178" s="48"/>
      <c r="BP178" s="61"/>
      <c r="BQ178" s="61"/>
      <c r="BR178" s="56"/>
      <c r="BS178" s="61"/>
      <c r="BT178" s="45"/>
      <c r="BU178" s="61"/>
      <c r="BV178" s="48"/>
    </row>
    <row r="179" spans="1:74" s="65" customFormat="1" ht="15" customHeight="1" x14ac:dyDescent="0.25">
      <c r="A179" s="48" t="s">
        <v>459</v>
      </c>
      <c r="B179" s="48" t="s">
        <v>460</v>
      </c>
      <c r="C179" s="45" t="s">
        <v>54</v>
      </c>
      <c r="D179" s="48">
        <v>173</v>
      </c>
      <c r="E179" s="45" t="s">
        <v>221</v>
      </c>
      <c r="F179" s="45" t="s">
        <v>1236</v>
      </c>
      <c r="G179" s="61" t="s">
        <v>1237</v>
      </c>
      <c r="H179" s="48" t="s">
        <v>1159</v>
      </c>
      <c r="I179" s="77">
        <v>45043</v>
      </c>
      <c r="J179" s="45" t="s">
        <v>534</v>
      </c>
      <c r="K179" s="48" t="s">
        <v>1233</v>
      </c>
      <c r="L179" s="45" t="s">
        <v>61</v>
      </c>
      <c r="M179" s="45" t="s">
        <v>1238</v>
      </c>
      <c r="N179" s="48">
        <v>78181507</v>
      </c>
      <c r="O179" s="47" t="s">
        <v>1235</v>
      </c>
      <c r="P179" s="56">
        <v>20000000</v>
      </c>
      <c r="Q179" s="56">
        <v>20000000</v>
      </c>
      <c r="R179" s="48">
        <v>34123</v>
      </c>
      <c r="S179" s="48" t="s">
        <v>500</v>
      </c>
      <c r="T179" s="45" t="s">
        <v>516</v>
      </c>
      <c r="U179" s="45" t="s">
        <v>517</v>
      </c>
      <c r="V179" s="48"/>
      <c r="W179" s="61"/>
      <c r="X179" s="45"/>
      <c r="Y179" s="61"/>
      <c r="Z179" s="48"/>
      <c r="AA179" s="48"/>
      <c r="AB179" s="48"/>
      <c r="AC179" s="48"/>
      <c r="AD179" s="48"/>
      <c r="AE179" s="48"/>
      <c r="AF179" s="48"/>
      <c r="AG179" s="48"/>
      <c r="AH179" s="48"/>
      <c r="AI179" s="45"/>
      <c r="AJ179" s="45"/>
      <c r="AK179" s="61"/>
      <c r="AL179" s="58"/>
      <c r="AM179" s="45"/>
      <c r="AN179" s="61"/>
      <c r="AO179" s="56"/>
      <c r="AP179" s="48"/>
      <c r="AQ179" s="59"/>
      <c r="AR179" s="48"/>
      <c r="AS179" s="133"/>
      <c r="AT179" s="48"/>
      <c r="AU179" s="61"/>
      <c r="AV179" s="61"/>
      <c r="AW179" s="61"/>
      <c r="AX179" s="61"/>
      <c r="AY179" s="45"/>
      <c r="AZ179" s="56"/>
      <c r="BA179" s="45"/>
      <c r="BB179" s="56"/>
      <c r="BC179" s="61"/>
      <c r="BD179" s="48"/>
      <c r="BE179" s="61"/>
      <c r="BF179" s="48"/>
      <c r="BG179" s="61"/>
      <c r="BH179" s="56"/>
      <c r="BI179" s="61"/>
      <c r="BJ179" s="47"/>
      <c r="BK179" s="61"/>
      <c r="BL179" s="61"/>
      <c r="BM179" s="61"/>
      <c r="BN179" s="61"/>
      <c r="BO179" s="48"/>
      <c r="BP179" s="61"/>
      <c r="BQ179" s="61"/>
      <c r="BR179" s="56"/>
      <c r="BS179" s="61"/>
      <c r="BT179" s="45"/>
      <c r="BU179" s="61"/>
      <c r="BV179" s="48"/>
    </row>
    <row r="180" spans="1:74" s="128" customFormat="1" x14ac:dyDescent="0.25">
      <c r="A180" s="57" t="s">
        <v>459</v>
      </c>
      <c r="B180" s="57" t="s">
        <v>460</v>
      </c>
      <c r="C180" s="57" t="s">
        <v>54</v>
      </c>
      <c r="D180" s="57">
        <v>196</v>
      </c>
      <c r="E180" s="85" t="s">
        <v>1183</v>
      </c>
      <c r="F180" s="78" t="s">
        <v>1184</v>
      </c>
      <c r="G180" s="57" t="s">
        <v>1185</v>
      </c>
      <c r="H180" s="57" t="s">
        <v>1159</v>
      </c>
      <c r="I180" s="209">
        <v>45044</v>
      </c>
      <c r="J180" s="57" t="s">
        <v>534</v>
      </c>
      <c r="K180" s="57" t="s">
        <v>534</v>
      </c>
      <c r="L180" s="78" t="s">
        <v>1186</v>
      </c>
      <c r="M180" s="78" t="s">
        <v>1187</v>
      </c>
      <c r="N180" s="57">
        <v>15101505</v>
      </c>
      <c r="O180" s="57" t="s">
        <v>1188</v>
      </c>
      <c r="P180" s="210">
        <v>5000000</v>
      </c>
      <c r="Q180" s="210">
        <v>5000000</v>
      </c>
      <c r="R180" s="57">
        <v>35623</v>
      </c>
      <c r="S180" s="57" t="s">
        <v>1189</v>
      </c>
      <c r="T180" s="57" t="s">
        <v>1190</v>
      </c>
      <c r="U180" s="57" t="s">
        <v>1190</v>
      </c>
      <c r="V180" s="57"/>
      <c r="W180" s="57"/>
      <c r="X180" s="57"/>
      <c r="Y180" s="57"/>
      <c r="Z180" s="57"/>
      <c r="AA180" s="57"/>
      <c r="AB180" s="57"/>
      <c r="AC180" s="57"/>
      <c r="AD180" s="57"/>
      <c r="AE180" s="57"/>
      <c r="AF180" s="57"/>
      <c r="AG180" s="57"/>
      <c r="AH180" s="57"/>
      <c r="AI180" s="57"/>
      <c r="AJ180" s="57"/>
      <c r="AK180" s="57"/>
      <c r="AL180" s="57"/>
      <c r="AM180" s="57"/>
      <c r="AN180" s="57"/>
      <c r="AO180" s="57"/>
      <c r="AP180" s="57"/>
      <c r="AQ180" s="57"/>
      <c r="AR180" s="57"/>
      <c r="AS180" s="57"/>
      <c r="AT180" s="57"/>
      <c r="AU180" s="57"/>
      <c r="AV180" s="57"/>
      <c r="AW180" s="57"/>
      <c r="AX180" s="57"/>
      <c r="AY180" s="57"/>
      <c r="AZ180" s="57"/>
      <c r="BA180" s="57"/>
      <c r="BB180" s="57"/>
      <c r="BC180" s="57"/>
      <c r="BD180" s="57"/>
      <c r="BE180" s="57"/>
      <c r="BF180" s="57"/>
      <c r="BG180" s="57"/>
      <c r="BH180" s="57"/>
      <c r="BI180" s="57"/>
      <c r="BJ180" s="57"/>
      <c r="BK180" s="57"/>
      <c r="BL180" s="57"/>
      <c r="BM180" s="57"/>
      <c r="BN180" s="57"/>
      <c r="BO180" s="57"/>
      <c r="BP180" s="57"/>
      <c r="BQ180" s="57"/>
      <c r="BR180" s="57"/>
      <c r="BS180" s="57"/>
      <c r="BT180" s="57"/>
      <c r="BU180" s="57"/>
      <c r="BV180" s="57"/>
    </row>
    <row r="181" spans="1:74" s="128" customFormat="1" x14ac:dyDescent="0.25">
      <c r="A181" s="201" t="s">
        <v>459</v>
      </c>
      <c r="B181" s="201" t="s">
        <v>460</v>
      </c>
      <c r="C181" s="201" t="s">
        <v>54</v>
      </c>
      <c r="D181" s="201">
        <v>203</v>
      </c>
      <c r="E181" s="85" t="s">
        <v>1183</v>
      </c>
      <c r="F181" s="87" t="s">
        <v>1191</v>
      </c>
      <c r="G181" s="201" t="s">
        <v>1192</v>
      </c>
      <c r="H181" s="201" t="s">
        <v>1159</v>
      </c>
      <c r="I181" s="211">
        <v>45037</v>
      </c>
      <c r="J181" s="201" t="s">
        <v>1193</v>
      </c>
      <c r="K181" s="201" t="s">
        <v>1194</v>
      </c>
      <c r="L181" s="87" t="s">
        <v>1186</v>
      </c>
      <c r="M181" s="87" t="s">
        <v>1195</v>
      </c>
      <c r="N181" s="201">
        <v>78131602</v>
      </c>
      <c r="O181" s="201" t="s">
        <v>1196</v>
      </c>
      <c r="P181" s="212">
        <v>1572376400</v>
      </c>
      <c r="Q181" s="212">
        <v>1250609235</v>
      </c>
      <c r="R181" s="201">
        <v>29323</v>
      </c>
      <c r="S181" s="201" t="s">
        <v>1197</v>
      </c>
      <c r="T181" s="201" t="s">
        <v>64</v>
      </c>
      <c r="U181" s="201" t="s">
        <v>1198</v>
      </c>
      <c r="V181" s="201"/>
      <c r="W181" s="201" t="s">
        <v>1199</v>
      </c>
      <c r="X181" s="201" t="s">
        <v>1200</v>
      </c>
      <c r="Y181" s="84">
        <v>45043</v>
      </c>
      <c r="Z181" s="201" t="s">
        <v>1194</v>
      </c>
      <c r="AA181" s="201"/>
      <c r="AB181" s="201" t="s">
        <v>68</v>
      </c>
      <c r="AC181" s="201" t="s">
        <v>1201</v>
      </c>
      <c r="AD181" s="201" t="s">
        <v>1202</v>
      </c>
      <c r="AE181" s="201" t="s">
        <v>1203</v>
      </c>
      <c r="AF181" s="201"/>
      <c r="AG181" s="201"/>
      <c r="AH181" s="201"/>
      <c r="AI181" s="201"/>
      <c r="AJ181" s="201"/>
      <c r="AK181" s="201"/>
      <c r="AL181" s="201"/>
      <c r="AM181" s="201">
        <v>78923</v>
      </c>
      <c r="AN181" s="171">
        <v>45044</v>
      </c>
      <c r="AO181" s="201">
        <v>1250609235</v>
      </c>
      <c r="AP181" s="201"/>
      <c r="AQ181" s="201"/>
      <c r="AR181" s="201"/>
      <c r="AS181" s="201">
        <v>1250609235</v>
      </c>
      <c r="AT181" s="201" t="s">
        <v>297</v>
      </c>
      <c r="AU181" s="213">
        <v>45050</v>
      </c>
      <c r="AV181" s="201" t="s">
        <v>1204</v>
      </c>
      <c r="AW181" s="213">
        <v>45050</v>
      </c>
      <c r="AX181" s="171">
        <v>45291</v>
      </c>
      <c r="AY181" s="201">
        <v>240</v>
      </c>
      <c r="AZ181" s="201" t="s">
        <v>1205</v>
      </c>
      <c r="BA181" s="201">
        <v>36551065</v>
      </c>
      <c r="BB181" s="201"/>
      <c r="BC181" s="201"/>
      <c r="BD181" s="201"/>
      <c r="BE181" s="201"/>
      <c r="BF181" s="201"/>
      <c r="BG181" s="201"/>
      <c r="BH181" s="201"/>
      <c r="BI181" s="201"/>
      <c r="BJ181" s="201">
        <v>1250609235</v>
      </c>
      <c r="BK181" s="201"/>
      <c r="BL181" s="201"/>
      <c r="BM181" s="201"/>
      <c r="BN181" s="201"/>
      <c r="BO181" s="201"/>
      <c r="BP181" s="201"/>
      <c r="BQ181" s="201"/>
      <c r="BR181" s="201"/>
      <c r="BS181" s="201"/>
      <c r="BT181" s="201"/>
      <c r="BU181" s="201"/>
      <c r="BV181" s="201"/>
    </row>
    <row r="182" spans="1:74" s="128" customFormat="1" ht="15.95" customHeight="1" x14ac:dyDescent="0.25">
      <c r="A182" s="136" t="s">
        <v>459</v>
      </c>
      <c r="B182" s="136" t="s">
        <v>460</v>
      </c>
      <c r="C182" s="136" t="s">
        <v>54</v>
      </c>
      <c r="D182" s="45">
        <v>229</v>
      </c>
      <c r="E182" s="73" t="s">
        <v>55</v>
      </c>
      <c r="F182" s="45" t="s">
        <v>1164</v>
      </c>
      <c r="G182" s="45" t="s">
        <v>1163</v>
      </c>
      <c r="H182" s="45" t="s">
        <v>1159</v>
      </c>
      <c r="I182" s="49">
        <v>45043</v>
      </c>
      <c r="J182" s="45" t="s">
        <v>59</v>
      </c>
      <c r="K182" s="45" t="s">
        <v>330</v>
      </c>
      <c r="L182" s="45" t="s">
        <v>313</v>
      </c>
      <c r="M182" s="48" t="s">
        <v>1165</v>
      </c>
      <c r="N182" s="136">
        <v>72151704</v>
      </c>
      <c r="O182" s="151" t="s">
        <v>1166</v>
      </c>
      <c r="P182" s="145">
        <v>25000000</v>
      </c>
      <c r="Q182" s="145">
        <v>25000000</v>
      </c>
      <c r="R182" s="45">
        <v>28323</v>
      </c>
      <c r="S182" s="48" t="s">
        <v>89</v>
      </c>
      <c r="T182" s="48" t="s">
        <v>448</v>
      </c>
      <c r="U182" s="45"/>
      <c r="V182" s="45"/>
      <c r="W182" s="49"/>
      <c r="X182" s="45"/>
      <c r="Y182" s="45"/>
      <c r="Z182" s="45"/>
      <c r="AA182" s="45"/>
      <c r="AB182" s="45"/>
      <c r="AC182" s="45"/>
      <c r="AD182" s="45"/>
      <c r="AE182" s="45"/>
      <c r="AF182" s="45"/>
      <c r="AG182" s="45"/>
      <c r="AH182" s="45"/>
      <c r="AI182" s="45"/>
      <c r="AJ182" s="45"/>
      <c r="AK182" s="45"/>
      <c r="AL182" s="49"/>
      <c r="AM182" s="47"/>
      <c r="AN182" s="45"/>
      <c r="AO182" s="45"/>
      <c r="AP182" s="45"/>
      <c r="AQ182" s="51"/>
      <c r="AR182" s="45"/>
      <c r="AS182" s="49"/>
      <c r="AT182" s="45"/>
      <c r="AU182" s="49"/>
      <c r="AV182" s="49"/>
      <c r="AW182" s="45"/>
      <c r="AX182" s="45"/>
      <c r="AY182" s="45"/>
      <c r="AZ182" s="47"/>
      <c r="BA182" s="49"/>
      <c r="BB182" s="45"/>
      <c r="BC182" s="45"/>
      <c r="BD182" s="45"/>
      <c r="BE182" s="49"/>
      <c r="BF182" s="45"/>
      <c r="BG182" s="49"/>
      <c r="BH182" s="47"/>
      <c r="BI182" s="45"/>
      <c r="BJ182" s="49"/>
      <c r="BK182" s="49"/>
      <c r="BL182" s="45"/>
      <c r="BM182" s="45"/>
      <c r="BN182" s="49"/>
      <c r="BO182" s="45"/>
      <c r="BP182" s="47"/>
      <c r="BQ182" s="49"/>
      <c r="BR182" s="45"/>
      <c r="BS182" s="49"/>
      <c r="BT182" s="45"/>
      <c r="BU182" s="45"/>
      <c r="BV182" s="45"/>
    </row>
    <row r="183" spans="1:74" s="128" customFormat="1" ht="15.75" customHeight="1" x14ac:dyDescent="0.25">
      <c r="A183" s="136" t="s">
        <v>459</v>
      </c>
      <c r="B183" s="136" t="s">
        <v>460</v>
      </c>
      <c r="C183" s="136" t="s">
        <v>54</v>
      </c>
      <c r="D183" s="45">
        <v>234</v>
      </c>
      <c r="E183" s="73" t="s">
        <v>55</v>
      </c>
      <c r="F183" s="45" t="s">
        <v>1157</v>
      </c>
      <c r="G183" s="45" t="s">
        <v>1158</v>
      </c>
      <c r="H183" s="45" t="s">
        <v>1159</v>
      </c>
      <c r="I183" s="45" t="s">
        <v>1160</v>
      </c>
      <c r="J183" s="45" t="s">
        <v>492</v>
      </c>
      <c r="K183" s="45" t="s">
        <v>493</v>
      </c>
      <c r="L183" s="45" t="s">
        <v>313</v>
      </c>
      <c r="M183" s="48" t="s">
        <v>1161</v>
      </c>
      <c r="N183" s="136">
        <v>81102700</v>
      </c>
      <c r="O183" s="151" t="s">
        <v>1162</v>
      </c>
      <c r="P183" s="145">
        <v>2547493939</v>
      </c>
      <c r="Q183" s="145">
        <v>2547493939</v>
      </c>
      <c r="R183" s="45"/>
      <c r="S183" s="45"/>
      <c r="T183" s="48" t="s">
        <v>448</v>
      </c>
      <c r="U183" s="45"/>
      <c r="V183" s="45"/>
      <c r="W183" s="49"/>
      <c r="X183" s="45"/>
      <c r="Y183" s="45"/>
      <c r="Z183" s="45"/>
      <c r="AA183" s="45"/>
      <c r="AB183" s="45"/>
      <c r="AC183" s="45"/>
      <c r="AD183" s="45"/>
      <c r="AE183" s="45"/>
      <c r="AF183" s="45"/>
      <c r="AG183" s="45"/>
      <c r="AH183" s="45"/>
      <c r="AI183" s="45"/>
      <c r="AJ183" s="45"/>
      <c r="AK183" s="45"/>
      <c r="AL183" s="49"/>
      <c r="AM183" s="47"/>
      <c r="AN183" s="45"/>
      <c r="AO183" s="45"/>
      <c r="AP183" s="45"/>
      <c r="AQ183" s="51"/>
      <c r="AR183" s="45"/>
      <c r="AS183" s="49"/>
      <c r="AT183" s="45"/>
      <c r="AU183" s="49"/>
      <c r="AV183" s="49"/>
      <c r="AW183" s="45"/>
      <c r="AX183" s="45"/>
      <c r="AY183" s="45"/>
      <c r="AZ183" s="47"/>
      <c r="BA183" s="49"/>
      <c r="BB183" s="45"/>
      <c r="BC183" s="45"/>
      <c r="BD183" s="45"/>
      <c r="BE183" s="49"/>
      <c r="BF183" s="45"/>
      <c r="BG183" s="49"/>
      <c r="BH183" s="47"/>
      <c r="BI183" s="45"/>
      <c r="BJ183" s="49"/>
      <c r="BK183" s="49"/>
      <c r="BL183" s="45"/>
      <c r="BM183" s="45"/>
      <c r="BN183" s="49"/>
      <c r="BO183" s="45"/>
      <c r="BP183" s="47"/>
      <c r="BQ183" s="49"/>
      <c r="BR183" s="45"/>
      <c r="BS183" s="49"/>
      <c r="BT183" s="45"/>
      <c r="BU183" s="45"/>
      <c r="BV183" s="45"/>
    </row>
    <row r="184" spans="1:74" s="128" customFormat="1" ht="16.5" customHeight="1" x14ac:dyDescent="0.25">
      <c r="A184" s="214" t="s">
        <v>459</v>
      </c>
      <c r="B184" s="214" t="s">
        <v>460</v>
      </c>
      <c r="C184" s="214" t="s">
        <v>54</v>
      </c>
      <c r="D184" s="45">
        <v>240</v>
      </c>
      <c r="E184" s="73" t="s">
        <v>55</v>
      </c>
      <c r="F184" s="45" t="s">
        <v>1168</v>
      </c>
      <c r="G184" s="45" t="s">
        <v>1167</v>
      </c>
      <c r="H184" s="45" t="s">
        <v>1159</v>
      </c>
      <c r="I184" s="49">
        <v>45044</v>
      </c>
      <c r="J184" s="45" t="s">
        <v>492</v>
      </c>
      <c r="K184" s="48" t="s">
        <v>730</v>
      </c>
      <c r="L184" s="45" t="s">
        <v>652</v>
      </c>
      <c r="M184" s="48" t="s">
        <v>1169</v>
      </c>
      <c r="N184" s="136">
        <v>86101808</v>
      </c>
      <c r="O184" s="151" t="s">
        <v>1170</v>
      </c>
      <c r="P184" s="145">
        <v>100000000</v>
      </c>
      <c r="Q184" s="145">
        <v>100000000</v>
      </c>
      <c r="R184" s="45">
        <v>29423</v>
      </c>
      <c r="S184" s="48" t="s">
        <v>1171</v>
      </c>
      <c r="T184" s="48" t="s">
        <v>448</v>
      </c>
      <c r="U184" s="45"/>
      <c r="V184" s="45"/>
      <c r="W184" s="49"/>
      <c r="X184" s="45"/>
      <c r="Y184" s="45"/>
      <c r="Z184" s="45"/>
      <c r="AA184" s="45"/>
      <c r="AB184" s="45"/>
      <c r="AC184" s="45"/>
      <c r="AD184" s="45"/>
      <c r="AE184" s="45"/>
      <c r="AF184" s="45"/>
      <c r="AG184" s="45"/>
      <c r="AH184" s="45"/>
      <c r="AI184" s="45"/>
      <c r="AJ184" s="45"/>
      <c r="AK184" s="45"/>
      <c r="AL184" s="49"/>
      <c r="AM184" s="47"/>
      <c r="AN184" s="45"/>
      <c r="AO184" s="45"/>
      <c r="AP184" s="45"/>
      <c r="AQ184" s="51"/>
      <c r="AR184" s="45"/>
      <c r="AS184" s="49"/>
      <c r="AT184" s="45"/>
      <c r="AU184" s="49"/>
      <c r="AV184" s="49"/>
      <c r="AW184" s="45"/>
      <c r="AX184" s="45"/>
      <c r="AY184" s="45"/>
      <c r="AZ184" s="47"/>
      <c r="BA184" s="49"/>
      <c r="BB184" s="45"/>
      <c r="BC184" s="45"/>
      <c r="BD184" s="45"/>
      <c r="BE184" s="49"/>
      <c r="BF184" s="45"/>
      <c r="BG184" s="49"/>
      <c r="BH184" s="47"/>
      <c r="BI184" s="45"/>
      <c r="BJ184" s="49"/>
      <c r="BK184" s="49"/>
      <c r="BL184" s="45"/>
      <c r="BM184" s="45"/>
      <c r="BN184" s="49"/>
      <c r="BO184" s="45"/>
      <c r="BP184" s="47"/>
      <c r="BQ184" s="49"/>
      <c r="BR184" s="45"/>
      <c r="BS184" s="49"/>
      <c r="BT184" s="45"/>
      <c r="BU184" s="45"/>
      <c r="BV184" s="45"/>
    </row>
    <row r="185" spans="1:74" ht="15" customHeight="1" x14ac:dyDescent="0.25">
      <c r="A185" s="42" t="s">
        <v>459</v>
      </c>
      <c r="B185" s="43" t="s">
        <v>460</v>
      </c>
      <c r="C185" s="44" t="s">
        <v>54</v>
      </c>
      <c r="D185" s="48">
        <v>248</v>
      </c>
      <c r="E185" s="45" t="s">
        <v>221</v>
      </c>
      <c r="F185" s="45" t="s">
        <v>1239</v>
      </c>
      <c r="G185" s="61" t="s">
        <v>1240</v>
      </c>
      <c r="H185" s="48" t="s">
        <v>1159</v>
      </c>
      <c r="I185" s="77">
        <v>45030</v>
      </c>
      <c r="J185" s="48" t="s">
        <v>59</v>
      </c>
      <c r="K185" s="48" t="s">
        <v>951</v>
      </c>
      <c r="L185" s="48" t="s">
        <v>841</v>
      </c>
      <c r="M185" s="45" t="s">
        <v>1241</v>
      </c>
      <c r="N185" s="48" t="s">
        <v>1242</v>
      </c>
      <c r="O185" s="56" t="s">
        <v>1243</v>
      </c>
      <c r="P185" s="56">
        <v>600000000</v>
      </c>
      <c r="Q185" s="56">
        <v>431410000</v>
      </c>
      <c r="R185" s="48">
        <v>29523</v>
      </c>
      <c r="S185" s="48" t="s">
        <v>1171</v>
      </c>
      <c r="T185" s="45" t="s">
        <v>516</v>
      </c>
      <c r="U185" s="45" t="s">
        <v>517</v>
      </c>
      <c r="V185" s="48"/>
      <c r="W185" s="61"/>
      <c r="X185" s="45"/>
      <c r="Y185" s="61"/>
      <c r="Z185" s="48"/>
      <c r="AA185" s="48"/>
      <c r="AB185" s="48"/>
      <c r="AC185" s="48"/>
      <c r="AD185" s="48"/>
      <c r="AE185" s="48"/>
      <c r="AF185" s="48"/>
      <c r="AG185" s="48"/>
      <c r="AH185" s="48"/>
      <c r="AI185" s="45"/>
      <c r="AJ185" s="45"/>
      <c r="AK185" s="61"/>
      <c r="AL185" s="58"/>
      <c r="AM185" s="45"/>
      <c r="AN185" s="61"/>
      <c r="AO185" s="56"/>
      <c r="AP185" s="48"/>
      <c r="AQ185" s="59"/>
      <c r="AR185" s="48"/>
      <c r="AS185" s="133"/>
      <c r="AT185" s="48"/>
      <c r="AU185" s="61"/>
      <c r="AV185" s="61"/>
      <c r="AW185" s="61"/>
      <c r="AX185" s="61"/>
      <c r="AY185" s="44"/>
      <c r="AZ185" s="56"/>
      <c r="BA185" s="45"/>
      <c r="BB185" s="56"/>
      <c r="BC185" s="61"/>
      <c r="BD185" s="48"/>
      <c r="BE185" s="61"/>
      <c r="BF185" s="48"/>
      <c r="BG185" s="61"/>
      <c r="BH185" s="56"/>
      <c r="BI185" s="61"/>
      <c r="BJ185" s="47"/>
      <c r="BK185" s="61"/>
      <c r="BL185" s="61"/>
      <c r="BM185" s="61"/>
      <c r="BN185" s="61"/>
      <c r="BO185" s="48"/>
      <c r="BP185" s="61"/>
      <c r="BQ185" s="61"/>
      <c r="BR185" s="56"/>
      <c r="BS185" s="61"/>
      <c r="BT185" s="45"/>
      <c r="BU185" s="61"/>
      <c r="BV185" s="60"/>
    </row>
    <row r="186" spans="1:74" ht="15" customHeight="1" x14ac:dyDescent="0.25">
      <c r="A186" s="215" t="s">
        <v>459</v>
      </c>
      <c r="B186" s="216" t="s">
        <v>460</v>
      </c>
      <c r="C186" s="216" t="s">
        <v>54</v>
      </c>
      <c r="D186" s="45">
        <v>256</v>
      </c>
      <c r="E186" s="45" t="s">
        <v>55</v>
      </c>
      <c r="F186" s="45" t="s">
        <v>1177</v>
      </c>
      <c r="G186" s="45" t="s">
        <v>1176</v>
      </c>
      <c r="H186" s="45" t="s">
        <v>1159</v>
      </c>
      <c r="I186" s="49">
        <v>45044</v>
      </c>
      <c r="J186" s="45" t="s">
        <v>492</v>
      </c>
      <c r="K186" s="45" t="s">
        <v>797</v>
      </c>
      <c r="L186" s="45" t="s">
        <v>652</v>
      </c>
      <c r="M186" s="48" t="s">
        <v>1178</v>
      </c>
      <c r="N186" s="136">
        <v>53101502</v>
      </c>
      <c r="O186" s="151" t="s">
        <v>1179</v>
      </c>
      <c r="P186" s="145">
        <v>850000000</v>
      </c>
      <c r="Q186" s="145">
        <v>850000000</v>
      </c>
      <c r="R186" s="45">
        <v>35023</v>
      </c>
      <c r="S186" s="48" t="s">
        <v>656</v>
      </c>
      <c r="T186" s="48" t="s">
        <v>448</v>
      </c>
      <c r="U186" s="45"/>
      <c r="V186" s="45"/>
      <c r="W186" s="49"/>
      <c r="X186" s="45"/>
      <c r="Y186" s="45"/>
      <c r="Z186" s="45"/>
      <c r="AA186" s="45"/>
      <c r="AB186" s="45"/>
      <c r="AC186" s="45"/>
      <c r="AD186" s="45"/>
      <c r="AE186" s="45"/>
      <c r="AF186" s="45"/>
      <c r="AG186" s="45"/>
      <c r="AH186" s="45"/>
      <c r="AI186" s="45"/>
      <c r="AJ186" s="45"/>
      <c r="AK186" s="45"/>
      <c r="AL186" s="49"/>
      <c r="AM186" s="47"/>
      <c r="AN186" s="45"/>
      <c r="AO186" s="45"/>
      <c r="AP186" s="45"/>
      <c r="AQ186" s="51"/>
      <c r="AR186" s="45"/>
      <c r="AS186" s="49"/>
      <c r="AT186" s="45"/>
      <c r="AU186" s="49"/>
      <c r="AV186" s="49"/>
      <c r="AW186" s="45"/>
      <c r="AX186" s="45"/>
      <c r="AY186" s="44"/>
      <c r="AZ186" s="47"/>
      <c r="BA186" s="49"/>
      <c r="BB186" s="45"/>
      <c r="BC186" s="45"/>
      <c r="BD186" s="45"/>
      <c r="BE186" s="49"/>
      <c r="BF186" s="45"/>
      <c r="BG186" s="49"/>
      <c r="BH186" s="47"/>
      <c r="BI186" s="45"/>
      <c r="BJ186" s="49"/>
      <c r="BK186" s="49"/>
      <c r="BL186" s="45"/>
      <c r="BM186" s="45"/>
      <c r="BN186" s="49"/>
      <c r="BO186" s="45"/>
      <c r="BP186" s="47"/>
      <c r="BQ186" s="49"/>
      <c r="BR186" s="45"/>
      <c r="BS186" s="49"/>
      <c r="BT186" s="45"/>
      <c r="BU186" s="45"/>
      <c r="BV186" s="52"/>
    </row>
    <row r="187" spans="1:74" ht="15" customHeight="1" x14ac:dyDescent="0.25">
      <c r="A187" s="134" t="s">
        <v>459</v>
      </c>
      <c r="B187" s="135" t="s">
        <v>460</v>
      </c>
      <c r="C187" s="135" t="s">
        <v>481</v>
      </c>
      <c r="D187" s="45">
        <v>262</v>
      </c>
      <c r="E187" s="45" t="s">
        <v>409</v>
      </c>
      <c r="F187" s="45" t="s">
        <v>1264</v>
      </c>
      <c r="G187" s="50">
        <v>185513</v>
      </c>
      <c r="H187" s="57" t="s">
        <v>1159</v>
      </c>
      <c r="I187" s="49">
        <v>45036</v>
      </c>
      <c r="J187" s="45" t="s">
        <v>1124</v>
      </c>
      <c r="K187" s="45" t="s">
        <v>1125</v>
      </c>
      <c r="L187" s="136" t="s">
        <v>1265</v>
      </c>
      <c r="M187" s="48" t="s">
        <v>1266</v>
      </c>
      <c r="N187" s="136">
        <v>46182205</v>
      </c>
      <c r="O187" s="47" t="s">
        <v>1267</v>
      </c>
      <c r="P187" s="145">
        <v>20000000</v>
      </c>
      <c r="Q187" s="145">
        <v>20000000</v>
      </c>
      <c r="R187" s="45">
        <v>35223</v>
      </c>
      <c r="S187" s="45" t="s">
        <v>1128</v>
      </c>
      <c r="T187" s="136" t="s">
        <v>64</v>
      </c>
      <c r="U187" s="136" t="s">
        <v>65</v>
      </c>
      <c r="V187" s="45"/>
      <c r="W187" s="137">
        <v>108244</v>
      </c>
      <c r="X187" s="45" t="s">
        <v>1253</v>
      </c>
      <c r="Y187" s="49">
        <v>48693</v>
      </c>
      <c r="Z187" s="45" t="s">
        <v>1129</v>
      </c>
      <c r="AA187" s="45"/>
      <c r="AB187" s="136" t="s">
        <v>68</v>
      </c>
      <c r="AC187" s="136" t="s">
        <v>69</v>
      </c>
      <c r="AD187" s="45" t="s">
        <v>1268</v>
      </c>
      <c r="AE187" s="45">
        <v>10125834</v>
      </c>
      <c r="AF187" s="45">
        <v>1</v>
      </c>
      <c r="AG187" s="45" t="s">
        <v>517</v>
      </c>
      <c r="AH187" s="45"/>
      <c r="AI187" s="45"/>
      <c r="AJ187" s="45"/>
      <c r="AK187" s="45" t="s">
        <v>517</v>
      </c>
      <c r="AL187" s="49" t="s">
        <v>517</v>
      </c>
      <c r="AM187" s="50">
        <v>75823</v>
      </c>
      <c r="AN187" s="49">
        <v>45040</v>
      </c>
      <c r="AO187" s="140">
        <v>10043300</v>
      </c>
      <c r="AP187" s="45"/>
      <c r="AQ187" s="51"/>
      <c r="AR187" s="45"/>
      <c r="AS187" s="208">
        <f>SUM(AO187+AP187+AQ187+AR187)</f>
        <v>10043300</v>
      </c>
      <c r="AT187" s="45" t="s">
        <v>551</v>
      </c>
      <c r="AU187" s="49"/>
      <c r="AV187" s="136" t="s">
        <v>517</v>
      </c>
      <c r="AW187" s="49">
        <v>45040</v>
      </c>
      <c r="AX187" s="49">
        <v>45068</v>
      </c>
      <c r="AY187" s="44">
        <f>(AX187-AW187)</f>
        <v>28</v>
      </c>
      <c r="AZ187" s="47" t="s">
        <v>1269</v>
      </c>
      <c r="BA187" s="136">
        <v>52813239</v>
      </c>
      <c r="BB187" s="45"/>
      <c r="BC187" s="45"/>
      <c r="BD187" s="45"/>
      <c r="BE187" s="49"/>
      <c r="BF187" s="45"/>
      <c r="BG187" s="49"/>
      <c r="BH187" s="47"/>
      <c r="BI187" s="45"/>
      <c r="BJ187" s="138">
        <f>SUM(AS187+BB187+BD187+BF187-BH187)</f>
        <v>10043300</v>
      </c>
      <c r="BK187" s="49"/>
      <c r="BL187" s="45"/>
      <c r="BM187" s="45"/>
      <c r="BN187" s="49"/>
      <c r="BO187" s="45"/>
      <c r="BP187" s="47"/>
      <c r="BQ187" s="49"/>
      <c r="BR187" s="45"/>
      <c r="BS187" s="49"/>
      <c r="BT187" s="45">
        <f>SUM(AY187+BK187+BN187+BQ187)</f>
        <v>28</v>
      </c>
      <c r="BU187" s="45"/>
      <c r="BV187" s="52"/>
    </row>
    <row r="188" spans="1:74" ht="15" customHeight="1" x14ac:dyDescent="0.25">
      <c r="A188" s="134" t="s">
        <v>459</v>
      </c>
      <c r="B188" s="135" t="s">
        <v>460</v>
      </c>
      <c r="C188" s="135" t="s">
        <v>481</v>
      </c>
      <c r="D188" s="45">
        <v>262</v>
      </c>
      <c r="E188" s="45" t="s">
        <v>409</v>
      </c>
      <c r="F188" s="45" t="s">
        <v>1270</v>
      </c>
      <c r="G188" s="50">
        <v>105794</v>
      </c>
      <c r="H188" s="57" t="s">
        <v>1159</v>
      </c>
      <c r="I188" s="49">
        <v>45036</v>
      </c>
      <c r="J188" s="45" t="s">
        <v>1124</v>
      </c>
      <c r="K188" s="45" t="s">
        <v>1125</v>
      </c>
      <c r="L188" s="136" t="s">
        <v>1265</v>
      </c>
      <c r="M188" s="48" t="s">
        <v>1266</v>
      </c>
      <c r="N188" s="136">
        <v>46182205</v>
      </c>
      <c r="O188" s="47" t="s">
        <v>1267</v>
      </c>
      <c r="P188" s="145">
        <v>20000000</v>
      </c>
      <c r="Q188" s="145">
        <v>20000000</v>
      </c>
      <c r="R188" s="45">
        <v>35223</v>
      </c>
      <c r="S188" s="45" t="s">
        <v>1128</v>
      </c>
      <c r="T188" s="136" t="s">
        <v>64</v>
      </c>
      <c r="U188" s="136" t="s">
        <v>65</v>
      </c>
      <c r="V188" s="45"/>
      <c r="W188" s="137">
        <v>108175</v>
      </c>
      <c r="X188" s="45" t="s">
        <v>1253</v>
      </c>
      <c r="Y188" s="49">
        <v>45041</v>
      </c>
      <c r="Z188" s="45" t="s">
        <v>1129</v>
      </c>
      <c r="AA188" s="45"/>
      <c r="AB188" s="136" t="s">
        <v>68</v>
      </c>
      <c r="AC188" s="136" t="s">
        <v>69</v>
      </c>
      <c r="AD188" s="48" t="s">
        <v>1084</v>
      </c>
      <c r="AE188" s="45">
        <v>830037946</v>
      </c>
      <c r="AF188" s="45">
        <v>3</v>
      </c>
      <c r="AG188" s="45" t="s">
        <v>517</v>
      </c>
      <c r="AH188" s="45"/>
      <c r="AI188" s="45"/>
      <c r="AJ188" s="45"/>
      <c r="AK188" s="45" t="s">
        <v>517</v>
      </c>
      <c r="AL188" s="49" t="s">
        <v>517</v>
      </c>
      <c r="AM188" s="50">
        <v>75223</v>
      </c>
      <c r="AN188" s="49">
        <v>45037</v>
      </c>
      <c r="AO188" s="140">
        <v>9871050</v>
      </c>
      <c r="AP188" s="45"/>
      <c r="AQ188" s="51"/>
      <c r="AR188" s="45"/>
      <c r="AS188" s="208">
        <f>SUM(AO188+AP188+AQ188+AR188)</f>
        <v>9871050</v>
      </c>
      <c r="AT188" s="45" t="s">
        <v>551</v>
      </c>
      <c r="AU188" s="49"/>
      <c r="AV188" s="136" t="s">
        <v>517</v>
      </c>
      <c r="AW188" s="49">
        <v>45037</v>
      </c>
      <c r="AX188" s="49">
        <v>45068</v>
      </c>
      <c r="AY188" s="44">
        <f>(AX188-AW188)</f>
        <v>31</v>
      </c>
      <c r="AZ188" s="47" t="s">
        <v>1269</v>
      </c>
      <c r="BA188" s="136">
        <v>52813239</v>
      </c>
      <c r="BB188" s="45"/>
      <c r="BC188" s="45"/>
      <c r="BD188" s="45"/>
      <c r="BE188" s="49"/>
      <c r="BF188" s="45"/>
      <c r="BG188" s="49"/>
      <c r="BH188" s="47"/>
      <c r="BI188" s="45"/>
      <c r="BJ188" s="138">
        <f>SUM(AS188+BB188+BD188+BF188-BH188)</f>
        <v>9871050</v>
      </c>
      <c r="BK188" s="49"/>
      <c r="BL188" s="45"/>
      <c r="BM188" s="45"/>
      <c r="BN188" s="49"/>
      <c r="BO188" s="45"/>
      <c r="BP188" s="47"/>
      <c r="BQ188" s="49"/>
      <c r="BR188" s="45"/>
      <c r="BS188" s="49"/>
      <c r="BT188" s="45">
        <f>SUM(AY188+BK188+BN188+BQ188)</f>
        <v>31</v>
      </c>
      <c r="BU188" s="45"/>
      <c r="BV188" s="52"/>
    </row>
    <row r="189" spans="1:74" s="65" customFormat="1" ht="15" customHeight="1" x14ac:dyDescent="0.25">
      <c r="A189" s="179" t="s">
        <v>459</v>
      </c>
      <c r="B189" s="135" t="s">
        <v>460</v>
      </c>
      <c r="C189" s="136" t="s">
        <v>481</v>
      </c>
      <c r="D189" s="45">
        <v>264</v>
      </c>
      <c r="E189" s="45" t="s">
        <v>409</v>
      </c>
      <c r="F189" s="45" t="s">
        <v>1271</v>
      </c>
      <c r="G189" s="50">
        <v>184237</v>
      </c>
      <c r="H189" s="57" t="s">
        <v>1159</v>
      </c>
      <c r="I189" s="49">
        <v>45036</v>
      </c>
      <c r="J189" s="45" t="s">
        <v>1124</v>
      </c>
      <c r="K189" s="45" t="s">
        <v>1125</v>
      </c>
      <c r="L189" s="136" t="s">
        <v>1265</v>
      </c>
      <c r="M189" s="48" t="s">
        <v>1272</v>
      </c>
      <c r="N189" s="136">
        <v>42171912</v>
      </c>
      <c r="O189" s="47" t="s">
        <v>1139</v>
      </c>
      <c r="P189" s="145">
        <v>10000000</v>
      </c>
      <c r="Q189" s="145">
        <v>10000000</v>
      </c>
      <c r="R189" s="45">
        <v>26923</v>
      </c>
      <c r="S189" s="45" t="s">
        <v>1140</v>
      </c>
      <c r="T189" s="136" t="s">
        <v>64</v>
      </c>
      <c r="U189" s="136" t="s">
        <v>65</v>
      </c>
      <c r="V189" s="45"/>
      <c r="W189" s="137">
        <v>108171</v>
      </c>
      <c r="X189" s="45" t="s">
        <v>1253</v>
      </c>
      <c r="Y189" s="49">
        <v>45037</v>
      </c>
      <c r="Z189" s="45" t="s">
        <v>1129</v>
      </c>
      <c r="AA189" s="45"/>
      <c r="AB189" s="136" t="s">
        <v>68</v>
      </c>
      <c r="AC189" s="136" t="s">
        <v>69</v>
      </c>
      <c r="AD189" s="45" t="s">
        <v>659</v>
      </c>
      <c r="AE189" s="186">
        <v>900155107</v>
      </c>
      <c r="AF189" s="45">
        <v>1</v>
      </c>
      <c r="AG189" s="45" t="s">
        <v>517</v>
      </c>
      <c r="AH189" s="45"/>
      <c r="AI189" s="45"/>
      <c r="AJ189" s="45"/>
      <c r="AK189" s="45" t="s">
        <v>517</v>
      </c>
      <c r="AL189" s="49" t="s">
        <v>517</v>
      </c>
      <c r="AM189" s="50">
        <v>75423</v>
      </c>
      <c r="AN189" s="49">
        <v>45040</v>
      </c>
      <c r="AO189" s="140">
        <v>9998150</v>
      </c>
      <c r="AP189" s="45"/>
      <c r="AQ189" s="51"/>
      <c r="AR189" s="45"/>
      <c r="AS189" s="208">
        <f>SUM(AO189+AP189+AQ189+AR189)</f>
        <v>9998150</v>
      </c>
      <c r="AT189" s="45" t="s">
        <v>551</v>
      </c>
      <c r="AU189" s="217"/>
      <c r="AV189" s="136" t="s">
        <v>517</v>
      </c>
      <c r="AW189" s="49">
        <v>45037</v>
      </c>
      <c r="AX189" s="49">
        <v>45128</v>
      </c>
      <c r="AY189" s="45">
        <f>(AX189-AW189)</f>
        <v>91</v>
      </c>
      <c r="AZ189" s="47" t="s">
        <v>1273</v>
      </c>
      <c r="BA189" s="136">
        <v>52665963</v>
      </c>
      <c r="BB189" s="45"/>
      <c r="BC189" s="45"/>
      <c r="BD189" s="45"/>
      <c r="BE189" s="49"/>
      <c r="BF189" s="45"/>
      <c r="BG189" s="49"/>
      <c r="BH189" s="47"/>
      <c r="BI189" s="45"/>
      <c r="BJ189" s="138">
        <f>SUM(AS189+BB189+BD189+BF189-BH189)</f>
        <v>9998150</v>
      </c>
      <c r="BK189" s="49"/>
      <c r="BL189" s="45"/>
      <c r="BM189" s="45"/>
      <c r="BN189" s="49"/>
      <c r="BO189" s="45"/>
      <c r="BP189" s="47"/>
      <c r="BQ189" s="49"/>
      <c r="BR189" s="45"/>
      <c r="BS189" s="49"/>
      <c r="BT189" s="45">
        <f>SUM(AY189+BK189+BN189+BQ189)</f>
        <v>91</v>
      </c>
      <c r="BU189" s="45"/>
      <c r="BV189" s="45"/>
    </row>
    <row r="190" spans="1:74" s="65" customFormat="1" ht="15" customHeight="1" x14ac:dyDescent="0.25">
      <c r="A190" s="218" t="s">
        <v>459</v>
      </c>
      <c r="B190" s="219" t="s">
        <v>460</v>
      </c>
      <c r="C190" s="201" t="s">
        <v>54</v>
      </c>
      <c r="D190" s="201">
        <v>284</v>
      </c>
      <c r="E190" s="85" t="s">
        <v>1183</v>
      </c>
      <c r="F190" s="87" t="s">
        <v>1206</v>
      </c>
      <c r="G190" s="201" t="s">
        <v>1207</v>
      </c>
      <c r="H190" s="201" t="s">
        <v>1159</v>
      </c>
      <c r="I190" s="211">
        <v>45037</v>
      </c>
      <c r="J190" s="201" t="s">
        <v>1193</v>
      </c>
      <c r="K190" s="201" t="s">
        <v>60</v>
      </c>
      <c r="L190" s="87" t="s">
        <v>1208</v>
      </c>
      <c r="M190" s="87" t="s">
        <v>1209</v>
      </c>
      <c r="N190" s="201">
        <v>80161504</v>
      </c>
      <c r="O190" s="201" t="s">
        <v>315</v>
      </c>
      <c r="P190" s="212">
        <v>42500000</v>
      </c>
      <c r="Q190" s="212">
        <v>42500000</v>
      </c>
      <c r="R190" s="201">
        <v>32423</v>
      </c>
      <c r="S190" s="201" t="s">
        <v>89</v>
      </c>
      <c r="T190" s="201" t="s">
        <v>64</v>
      </c>
      <c r="U190" s="201" t="s">
        <v>1198</v>
      </c>
      <c r="V190" s="201"/>
      <c r="W190" s="201" t="s">
        <v>1210</v>
      </c>
      <c r="X190" s="201" t="s">
        <v>1159</v>
      </c>
      <c r="Y190" s="84">
        <v>45040</v>
      </c>
      <c r="Z190" s="201" t="s">
        <v>60</v>
      </c>
      <c r="AA190" s="201"/>
      <c r="AB190" s="201" t="s">
        <v>68</v>
      </c>
      <c r="AC190" s="201" t="s">
        <v>1201</v>
      </c>
      <c r="AD190" s="201" t="s">
        <v>1211</v>
      </c>
      <c r="AE190" s="201">
        <v>52350202</v>
      </c>
      <c r="AF190" s="201"/>
      <c r="AG190" s="201" t="s">
        <v>1212</v>
      </c>
      <c r="AH190" s="201"/>
      <c r="AI190" s="201"/>
      <c r="AJ190" s="201"/>
      <c r="AK190" s="171">
        <v>28500</v>
      </c>
      <c r="AL190" s="201">
        <v>45</v>
      </c>
      <c r="AM190" s="201">
        <v>76123</v>
      </c>
      <c r="AN190" s="171">
        <v>45041</v>
      </c>
      <c r="AO190" s="201">
        <v>42500000</v>
      </c>
      <c r="AP190" s="201"/>
      <c r="AQ190" s="201"/>
      <c r="AR190" s="201"/>
      <c r="AS190" s="201">
        <v>42500000</v>
      </c>
      <c r="AT190" s="201" t="s">
        <v>297</v>
      </c>
      <c r="AU190" s="220">
        <v>45041</v>
      </c>
      <c r="AV190" s="201" t="s">
        <v>1213</v>
      </c>
      <c r="AW190" s="213">
        <v>45040</v>
      </c>
      <c r="AX190" s="171">
        <v>45291</v>
      </c>
      <c r="AY190" s="201">
        <v>246</v>
      </c>
      <c r="AZ190" s="201" t="s">
        <v>1214</v>
      </c>
      <c r="BA190" s="201">
        <v>52544180</v>
      </c>
      <c r="BB190" s="201"/>
      <c r="BC190" s="201"/>
      <c r="BD190" s="201"/>
      <c r="BE190" s="201"/>
      <c r="BF190" s="201"/>
      <c r="BG190" s="201"/>
      <c r="BH190" s="201"/>
      <c r="BI190" s="201"/>
      <c r="BJ190" s="201">
        <v>42500000</v>
      </c>
      <c r="BK190" s="201"/>
      <c r="BL190" s="201"/>
      <c r="BM190" s="201"/>
      <c r="BN190" s="201"/>
      <c r="BO190" s="201"/>
      <c r="BP190" s="201"/>
      <c r="BQ190" s="201"/>
      <c r="BR190" s="201"/>
      <c r="BS190" s="201"/>
      <c r="BT190" s="201"/>
      <c r="BU190" s="201"/>
      <c r="BV190" s="201"/>
    </row>
    <row r="191" spans="1:74" s="65" customFormat="1" ht="15" customHeight="1" x14ac:dyDescent="0.25">
      <c r="A191" s="221" t="s">
        <v>459</v>
      </c>
      <c r="B191" s="216" t="s">
        <v>460</v>
      </c>
      <c r="C191" s="214" t="s">
        <v>54</v>
      </c>
      <c r="D191" s="45">
        <v>286</v>
      </c>
      <c r="E191" s="45" t="s">
        <v>55</v>
      </c>
      <c r="F191" s="45" t="s">
        <v>1172</v>
      </c>
      <c r="G191" s="45" t="s">
        <v>1173</v>
      </c>
      <c r="H191" s="45" t="s">
        <v>1159</v>
      </c>
      <c r="I191" s="49">
        <v>45044</v>
      </c>
      <c r="J191" s="45" t="s">
        <v>492</v>
      </c>
      <c r="K191" s="48" t="s">
        <v>730</v>
      </c>
      <c r="L191" s="45" t="s">
        <v>61</v>
      </c>
      <c r="M191" s="48" t="s">
        <v>1174</v>
      </c>
      <c r="N191" s="136">
        <v>72101500</v>
      </c>
      <c r="O191" s="151" t="s">
        <v>1175</v>
      </c>
      <c r="P191" s="145">
        <v>300000000</v>
      </c>
      <c r="Q191" s="145">
        <v>269800000</v>
      </c>
      <c r="R191" s="45">
        <v>32823</v>
      </c>
      <c r="S191" s="48" t="s">
        <v>309</v>
      </c>
      <c r="T191" s="48" t="s">
        <v>448</v>
      </c>
      <c r="U191" s="45"/>
      <c r="V191" s="45"/>
      <c r="W191" s="49"/>
      <c r="X191" s="45"/>
      <c r="Y191" s="45"/>
      <c r="Z191" s="45"/>
      <c r="AA191" s="45"/>
      <c r="AB191" s="45"/>
      <c r="AC191" s="45"/>
      <c r="AD191" s="45"/>
      <c r="AE191" s="45"/>
      <c r="AF191" s="45"/>
      <c r="AG191" s="45"/>
      <c r="AH191" s="45"/>
      <c r="AI191" s="45"/>
      <c r="AJ191" s="45"/>
      <c r="AK191" s="45"/>
      <c r="AL191" s="49"/>
      <c r="AM191" s="47"/>
      <c r="AN191" s="45"/>
      <c r="AO191" s="45"/>
      <c r="AP191" s="45"/>
      <c r="AQ191" s="51"/>
      <c r="AR191" s="45"/>
      <c r="AS191" s="49"/>
      <c r="AT191" s="45"/>
      <c r="AU191" s="217"/>
      <c r="AV191" s="49"/>
      <c r="AW191" s="45"/>
      <c r="AX191" s="45"/>
      <c r="AY191" s="45"/>
      <c r="AZ191" s="47"/>
      <c r="BA191" s="49"/>
      <c r="BB191" s="45"/>
      <c r="BC191" s="45"/>
      <c r="BD191" s="45"/>
      <c r="BE191" s="49"/>
      <c r="BF191" s="45"/>
      <c r="BG191" s="49"/>
      <c r="BH191" s="47"/>
      <c r="BI191" s="45"/>
      <c r="BJ191" s="49"/>
      <c r="BK191" s="49"/>
      <c r="BL191" s="45"/>
      <c r="BM191" s="45"/>
      <c r="BN191" s="49"/>
      <c r="BO191" s="45"/>
      <c r="BP191" s="47"/>
      <c r="BQ191" s="49"/>
      <c r="BR191" s="45"/>
      <c r="BS191" s="49"/>
      <c r="BT191" s="45"/>
      <c r="BU191" s="45"/>
      <c r="BV191" s="45"/>
    </row>
    <row r="192" spans="1:74" s="65" customFormat="1" ht="15" customHeight="1" x14ac:dyDescent="0.25">
      <c r="A192" s="218" t="s">
        <v>459</v>
      </c>
      <c r="B192" s="219" t="s">
        <v>460</v>
      </c>
      <c r="C192" s="201" t="s">
        <v>54</v>
      </c>
      <c r="D192" s="201">
        <v>287</v>
      </c>
      <c r="E192" s="85" t="s">
        <v>1183</v>
      </c>
      <c r="F192" s="87" t="s">
        <v>1215</v>
      </c>
      <c r="G192" s="201" t="s">
        <v>1216</v>
      </c>
      <c r="H192" s="201" t="s">
        <v>1159</v>
      </c>
      <c r="I192" s="211">
        <v>45037</v>
      </c>
      <c r="J192" s="201" t="s">
        <v>1193</v>
      </c>
      <c r="K192" s="201" t="s">
        <v>60</v>
      </c>
      <c r="L192" s="87" t="s">
        <v>1217</v>
      </c>
      <c r="M192" s="87" t="s">
        <v>1218</v>
      </c>
      <c r="N192" s="201">
        <v>811115</v>
      </c>
      <c r="O192" s="201" t="s">
        <v>1219</v>
      </c>
      <c r="P192" s="212">
        <v>85000000</v>
      </c>
      <c r="Q192" s="212">
        <v>85000000</v>
      </c>
      <c r="R192" s="201">
        <v>32623</v>
      </c>
      <c r="S192" s="201" t="s">
        <v>89</v>
      </c>
      <c r="T192" s="201" t="s">
        <v>64</v>
      </c>
      <c r="U192" s="201" t="s">
        <v>1198</v>
      </c>
      <c r="V192" s="201"/>
      <c r="W192" s="201" t="s">
        <v>1220</v>
      </c>
      <c r="X192" s="201" t="s">
        <v>1159</v>
      </c>
      <c r="Y192" s="84">
        <v>45041</v>
      </c>
      <c r="Z192" s="201" t="s">
        <v>60</v>
      </c>
      <c r="AA192" s="201"/>
      <c r="AB192" s="201" t="s">
        <v>68</v>
      </c>
      <c r="AC192" s="201" t="s">
        <v>1201</v>
      </c>
      <c r="AD192" s="201" t="s">
        <v>1221</v>
      </c>
      <c r="AE192" s="201">
        <v>53165790</v>
      </c>
      <c r="AF192" s="201"/>
      <c r="AG192" s="201" t="s">
        <v>757</v>
      </c>
      <c r="AH192" s="201"/>
      <c r="AI192" s="201"/>
      <c r="AJ192" s="201"/>
      <c r="AK192" s="171">
        <v>31145</v>
      </c>
      <c r="AL192" s="201">
        <v>38</v>
      </c>
      <c r="AM192" s="201">
        <v>76723</v>
      </c>
      <c r="AN192" s="171">
        <v>45041</v>
      </c>
      <c r="AO192" s="201">
        <v>85000000</v>
      </c>
      <c r="AP192" s="201"/>
      <c r="AQ192" s="201"/>
      <c r="AR192" s="201"/>
      <c r="AS192" s="201">
        <v>85000000</v>
      </c>
      <c r="AT192" s="201" t="s">
        <v>297</v>
      </c>
      <c r="AU192" s="171">
        <v>45041</v>
      </c>
      <c r="AV192" s="201" t="s">
        <v>1213</v>
      </c>
      <c r="AW192" s="213">
        <v>45041</v>
      </c>
      <c r="AX192" s="171">
        <v>45291</v>
      </c>
      <c r="AY192" s="201">
        <v>246</v>
      </c>
      <c r="AZ192" s="201" t="s">
        <v>1222</v>
      </c>
      <c r="BA192" s="201">
        <v>19498970</v>
      </c>
      <c r="BB192" s="201"/>
      <c r="BC192" s="201"/>
      <c r="BD192" s="201"/>
      <c r="BE192" s="201"/>
      <c r="BF192" s="201"/>
      <c r="BG192" s="201"/>
      <c r="BH192" s="201"/>
      <c r="BI192" s="201"/>
      <c r="BJ192" s="201">
        <v>85000000</v>
      </c>
      <c r="BK192" s="201"/>
      <c r="BL192" s="201"/>
      <c r="BM192" s="201"/>
      <c r="BN192" s="201"/>
      <c r="BO192" s="201"/>
      <c r="BP192" s="201"/>
      <c r="BQ192" s="201"/>
      <c r="BR192" s="201"/>
      <c r="BS192" s="201"/>
      <c r="BT192" s="201"/>
      <c r="BU192" s="201"/>
      <c r="BV192" s="201"/>
    </row>
    <row r="193" spans="1:74" s="65" customFormat="1" ht="15" customHeight="1" x14ac:dyDescent="0.25">
      <c r="A193" s="222" t="s">
        <v>459</v>
      </c>
      <c r="B193" s="223" t="s">
        <v>460</v>
      </c>
      <c r="C193" s="57" t="s">
        <v>54</v>
      </c>
      <c r="D193" s="57">
        <v>288</v>
      </c>
      <c r="E193" s="200" t="s">
        <v>1183</v>
      </c>
      <c r="F193" s="78" t="s">
        <v>1223</v>
      </c>
      <c r="G193" s="57" t="s">
        <v>1224</v>
      </c>
      <c r="H193" s="57" t="s">
        <v>1159</v>
      </c>
      <c r="I193" s="209">
        <v>45044</v>
      </c>
      <c r="J193" s="57" t="s">
        <v>1193</v>
      </c>
      <c r="K193" s="57" t="s">
        <v>1194</v>
      </c>
      <c r="L193" s="78" t="s">
        <v>1208</v>
      </c>
      <c r="M193" s="78" t="s">
        <v>1225</v>
      </c>
      <c r="N193" s="57">
        <v>861116</v>
      </c>
      <c r="O193" s="57" t="s">
        <v>1226</v>
      </c>
      <c r="P193" s="210">
        <v>200000000</v>
      </c>
      <c r="Q193" s="210">
        <v>195267045</v>
      </c>
      <c r="R193" s="57">
        <v>33723</v>
      </c>
      <c r="S193" s="57" t="s">
        <v>1171</v>
      </c>
      <c r="T193" s="57" t="s">
        <v>1190</v>
      </c>
      <c r="U193" s="57" t="s">
        <v>1190</v>
      </c>
      <c r="V193" s="57"/>
      <c r="W193" s="57"/>
      <c r="X193" s="57"/>
      <c r="Y193" s="57"/>
      <c r="Z193" s="57"/>
      <c r="AA193" s="57"/>
      <c r="AB193" s="57"/>
      <c r="AC193" s="57"/>
      <c r="AD193" s="57"/>
      <c r="AE193" s="57"/>
      <c r="AF193" s="57"/>
      <c r="AG193" s="57"/>
      <c r="AH193" s="57"/>
      <c r="AI193" s="57"/>
      <c r="AJ193" s="57"/>
      <c r="AK193" s="57"/>
      <c r="AL193" s="57"/>
      <c r="AM193" s="57"/>
      <c r="AN193" s="57"/>
      <c r="AO193" s="57"/>
      <c r="AP193" s="57"/>
      <c r="AQ193" s="57"/>
      <c r="AR193" s="57"/>
      <c r="AS193" s="57"/>
      <c r="AT193" s="57"/>
      <c r="AU193" s="57"/>
      <c r="AV193" s="57"/>
      <c r="AW193" s="57"/>
      <c r="AX193" s="57"/>
      <c r="AY193" s="57"/>
      <c r="AZ193" s="57"/>
      <c r="BA193" s="57"/>
      <c r="BB193" s="57"/>
      <c r="BC193" s="57"/>
      <c r="BD193" s="57"/>
      <c r="BE193" s="57"/>
      <c r="BF193" s="57"/>
      <c r="BG193" s="57"/>
      <c r="BH193" s="57"/>
      <c r="BI193" s="57"/>
      <c r="BJ193" s="57"/>
      <c r="BK193" s="57"/>
      <c r="BL193" s="57"/>
      <c r="BM193" s="57"/>
      <c r="BN193" s="57"/>
      <c r="BO193" s="57"/>
      <c r="BP193" s="57"/>
      <c r="BQ193" s="57"/>
      <c r="BR193" s="57"/>
      <c r="BS193" s="57"/>
      <c r="BT193" s="57"/>
      <c r="BU193" s="57"/>
      <c r="BV193" s="57"/>
    </row>
    <row r="194" spans="1:74" s="65" customFormat="1" ht="15" customHeight="1" x14ac:dyDescent="0.25">
      <c r="A194" s="179" t="s">
        <v>459</v>
      </c>
      <c r="B194" s="135" t="s">
        <v>460</v>
      </c>
      <c r="C194" s="136" t="s">
        <v>481</v>
      </c>
      <c r="D194" s="45">
        <v>297</v>
      </c>
      <c r="E194" s="73" t="s">
        <v>409</v>
      </c>
      <c r="F194" s="45" t="s">
        <v>1394</v>
      </c>
      <c r="G194" s="50">
        <v>148807</v>
      </c>
      <c r="H194" s="57" t="s">
        <v>1159</v>
      </c>
      <c r="I194" s="49">
        <v>45034</v>
      </c>
      <c r="J194" s="45" t="s">
        <v>1124</v>
      </c>
      <c r="K194" s="45" t="s">
        <v>1125</v>
      </c>
      <c r="L194" s="136" t="s">
        <v>768</v>
      </c>
      <c r="M194" s="48" t="s">
        <v>1262</v>
      </c>
      <c r="N194" s="136">
        <v>76111501</v>
      </c>
      <c r="O194" s="151" t="s">
        <v>1142</v>
      </c>
      <c r="P194" s="145">
        <v>28203631.800000001</v>
      </c>
      <c r="Q194" s="145">
        <v>28203631.800000001</v>
      </c>
      <c r="R194" s="45">
        <v>28623</v>
      </c>
      <c r="S194" s="48" t="s">
        <v>1040</v>
      </c>
      <c r="T194" s="57" t="s">
        <v>1190</v>
      </c>
      <c r="U194" s="136"/>
      <c r="V194" s="45"/>
      <c r="W194" s="137"/>
      <c r="X194" s="45"/>
      <c r="Y194" s="49"/>
      <c r="Z194" s="45"/>
      <c r="AA194" s="45"/>
      <c r="AB194" s="45"/>
      <c r="AC194" s="45"/>
      <c r="AD194" s="146"/>
      <c r="AE194" s="45"/>
      <c r="AF194" s="45"/>
      <c r="AG194" s="45"/>
      <c r="AH194" s="45"/>
      <c r="AI194" s="45"/>
      <c r="AJ194" s="45"/>
      <c r="AK194" s="45" t="s">
        <v>517</v>
      </c>
      <c r="AL194" s="49" t="s">
        <v>517</v>
      </c>
      <c r="AM194" s="48"/>
      <c r="AN194" s="45"/>
      <c r="AO194" s="207" t="s">
        <v>1263</v>
      </c>
      <c r="AP194" s="45"/>
      <c r="AQ194" s="51"/>
      <c r="AR194" s="45"/>
      <c r="AS194" s="208" t="e">
        <f>SUM(AO194+AP194+AQ194+AR194)</f>
        <v>#VALUE!</v>
      </c>
      <c r="AT194" s="45"/>
      <c r="AU194" s="203" t="s">
        <v>1258</v>
      </c>
      <c r="AV194" s="136" t="s">
        <v>74</v>
      </c>
      <c r="AW194" s="49"/>
      <c r="AX194" s="49"/>
      <c r="AY194" s="136">
        <f>(AX194-AW194)</f>
        <v>0</v>
      </c>
      <c r="AZ194" s="204"/>
      <c r="BA194" s="49"/>
      <c r="BB194" s="45"/>
      <c r="BC194" s="45"/>
      <c r="BD194" s="45"/>
      <c r="BE194" s="49"/>
      <c r="BF194" s="45"/>
      <c r="BG194" s="49"/>
      <c r="BH194" s="47"/>
      <c r="BI194" s="45"/>
      <c r="BJ194" s="138" t="e">
        <f>SUM(AS194+BB194+BD194+BF194-BH194)</f>
        <v>#VALUE!</v>
      </c>
      <c r="BK194" s="49"/>
      <c r="BL194" s="45"/>
      <c r="BM194" s="45"/>
      <c r="BN194" s="49"/>
      <c r="BO194" s="45"/>
      <c r="BP194" s="47"/>
      <c r="BQ194" s="49"/>
      <c r="BR194" s="45"/>
      <c r="BS194" s="49"/>
      <c r="BT194" s="45">
        <f>SUM(AY194+BK194+BN194+BQ194)</f>
        <v>0</v>
      </c>
      <c r="BU194" s="45"/>
      <c r="BV194" s="45"/>
    </row>
    <row r="195" spans="1:74" ht="15" customHeight="1" x14ac:dyDescent="0.25">
      <c r="A195" s="134" t="s">
        <v>459</v>
      </c>
      <c r="B195" s="135" t="s">
        <v>460</v>
      </c>
      <c r="C195" s="135" t="s">
        <v>481</v>
      </c>
      <c r="D195" s="45">
        <v>134</v>
      </c>
      <c r="E195" s="45" t="s">
        <v>409</v>
      </c>
      <c r="F195" s="73" t="s">
        <v>1259</v>
      </c>
      <c r="G195" s="45">
        <v>149238</v>
      </c>
      <c r="H195" s="57" t="s">
        <v>1159</v>
      </c>
      <c r="I195" s="49">
        <v>45037</v>
      </c>
      <c r="J195" s="45" t="s">
        <v>1124</v>
      </c>
      <c r="K195" s="45" t="s">
        <v>1125</v>
      </c>
      <c r="L195" s="136" t="s">
        <v>768</v>
      </c>
      <c r="M195" s="76" t="s">
        <v>1260</v>
      </c>
      <c r="N195" s="136">
        <v>76111501</v>
      </c>
      <c r="O195" s="151" t="s">
        <v>1142</v>
      </c>
      <c r="P195" s="145">
        <v>157457711.08000001</v>
      </c>
      <c r="Q195" s="145">
        <v>157457711.08000001</v>
      </c>
      <c r="R195" s="45">
        <v>28623</v>
      </c>
      <c r="S195" s="48" t="s">
        <v>1040</v>
      </c>
      <c r="T195" s="57" t="s">
        <v>1190</v>
      </c>
      <c r="U195" s="136"/>
      <c r="V195" s="45"/>
      <c r="W195" s="137"/>
      <c r="X195" s="45"/>
      <c r="Y195" s="49"/>
      <c r="Z195" s="45"/>
      <c r="AA195" s="45"/>
      <c r="AB195" s="45"/>
      <c r="AC195" s="45"/>
      <c r="AD195" s="146"/>
      <c r="AE195" s="45"/>
      <c r="AF195" s="45"/>
      <c r="AG195" s="45"/>
      <c r="AH195" s="45"/>
      <c r="AI195" s="45"/>
      <c r="AJ195" s="45"/>
      <c r="AK195" s="45" t="s">
        <v>517</v>
      </c>
      <c r="AL195" s="49" t="s">
        <v>517</v>
      </c>
      <c r="AM195" s="48"/>
      <c r="AN195" s="45"/>
      <c r="AO195" s="207" t="s">
        <v>1261</v>
      </c>
      <c r="AP195" s="45"/>
      <c r="AQ195" s="51"/>
      <c r="AR195" s="45"/>
      <c r="AS195" s="208" t="e">
        <f>SUM(AO195+AP195+AQ195+AR195)</f>
        <v>#VALUE!</v>
      </c>
      <c r="AT195" s="45"/>
      <c r="AU195" s="203" t="s">
        <v>1258</v>
      </c>
      <c r="AV195" s="136" t="s">
        <v>74</v>
      </c>
      <c r="AW195" s="49"/>
      <c r="AX195" s="49"/>
      <c r="AY195" s="135">
        <f>(AX195-AW195)</f>
        <v>0</v>
      </c>
      <c r="AZ195" s="149"/>
      <c r="BA195" s="49"/>
      <c r="BB195" s="45"/>
      <c r="BC195" s="45"/>
      <c r="BD195" s="45"/>
      <c r="BE195" s="49"/>
      <c r="BF195" s="45"/>
      <c r="BG195" s="49"/>
      <c r="BH195" s="47"/>
      <c r="BI195" s="45"/>
      <c r="BJ195" s="138"/>
      <c r="BK195" s="49"/>
      <c r="BL195" s="45"/>
      <c r="BM195" s="45"/>
      <c r="BN195" s="49"/>
      <c r="BO195" s="45"/>
      <c r="BP195" s="47"/>
      <c r="BQ195" s="49"/>
      <c r="BR195" s="45"/>
      <c r="BS195" s="49"/>
      <c r="BT195" s="45">
        <f>SUM(AY195+BK195+BN195+BQ195)</f>
        <v>0</v>
      </c>
      <c r="BU195" s="45"/>
      <c r="BV195" s="52"/>
    </row>
    <row r="196" spans="1:74" s="82" customFormat="1" ht="15" customHeight="1" x14ac:dyDescent="0.25">
      <c r="A196" s="80" t="s">
        <v>459</v>
      </c>
      <c r="B196" s="80" t="s">
        <v>460</v>
      </c>
      <c r="C196" s="81" t="s">
        <v>54</v>
      </c>
      <c r="D196" s="224">
        <v>183</v>
      </c>
      <c r="E196" s="85" t="s">
        <v>345</v>
      </c>
      <c r="F196" s="224" t="s">
        <v>1349</v>
      </c>
      <c r="G196" s="171" t="s">
        <v>1350</v>
      </c>
      <c r="H196" s="85" t="s">
        <v>1351</v>
      </c>
      <c r="I196" s="182">
        <v>45041</v>
      </c>
      <c r="J196" s="85" t="s">
        <v>1352</v>
      </c>
      <c r="K196" s="85"/>
      <c r="L196" s="85" t="s">
        <v>61</v>
      </c>
      <c r="M196" s="85" t="s">
        <v>1353</v>
      </c>
      <c r="N196" s="85">
        <v>78181507</v>
      </c>
      <c r="O196" s="172" t="s">
        <v>1235</v>
      </c>
      <c r="P196" s="172">
        <v>190000000</v>
      </c>
      <c r="Q196" s="172">
        <v>190000000</v>
      </c>
      <c r="R196" s="85">
        <v>31423</v>
      </c>
      <c r="S196" s="85" t="s">
        <v>500</v>
      </c>
      <c r="T196" s="85" t="s">
        <v>516</v>
      </c>
      <c r="U196" s="85"/>
      <c r="V196" s="85"/>
      <c r="W196" s="171"/>
      <c r="X196" s="85"/>
      <c r="Y196" s="171"/>
      <c r="Z196" s="85"/>
      <c r="AA196" s="85"/>
      <c r="AB196" s="85"/>
      <c r="AC196" s="85"/>
      <c r="AD196" s="85"/>
      <c r="AE196" s="85"/>
      <c r="AF196" s="85"/>
      <c r="AG196" s="85"/>
      <c r="AH196" s="85"/>
      <c r="AK196" s="85"/>
      <c r="AL196" s="183"/>
      <c r="AM196" s="85"/>
      <c r="AN196" s="171"/>
      <c r="AO196" s="172"/>
      <c r="AP196" s="85"/>
      <c r="AQ196" s="173"/>
      <c r="AR196" s="85"/>
      <c r="AS196" s="173"/>
      <c r="AT196" s="85"/>
      <c r="AU196" s="171"/>
      <c r="AV196" s="171"/>
      <c r="AW196" s="171"/>
      <c r="AX196" s="171"/>
      <c r="AY196" s="81"/>
      <c r="AZ196" s="172"/>
      <c r="BA196" s="85"/>
      <c r="BB196" s="172"/>
      <c r="BC196" s="171"/>
      <c r="BD196" s="85"/>
      <c r="BE196" s="171"/>
      <c r="BF196" s="85"/>
      <c r="BG196" s="171"/>
      <c r="BH196" s="172"/>
      <c r="BI196" s="171"/>
      <c r="BJ196" s="172"/>
      <c r="BK196" s="171"/>
      <c r="BL196" s="171"/>
      <c r="BM196" s="171"/>
      <c r="BN196" s="171"/>
      <c r="BO196" s="85"/>
      <c r="BP196" s="171"/>
      <c r="BQ196" s="171"/>
      <c r="BR196" s="172"/>
      <c r="BS196" s="171"/>
      <c r="BT196" s="85"/>
      <c r="BU196" s="171"/>
      <c r="BV196" s="225"/>
    </row>
    <row r="197" spans="1:74" s="82" customFormat="1" ht="15" customHeight="1" x14ac:dyDescent="0.25">
      <c r="A197" s="80" t="s">
        <v>459</v>
      </c>
      <c r="B197" s="80" t="s">
        <v>460</v>
      </c>
      <c r="C197" s="81" t="s">
        <v>54</v>
      </c>
      <c r="D197" s="224">
        <v>76</v>
      </c>
      <c r="E197" s="85" t="s">
        <v>345</v>
      </c>
      <c r="F197" s="224" t="s">
        <v>1354</v>
      </c>
      <c r="G197" s="171" t="s">
        <v>1355</v>
      </c>
      <c r="H197" s="85" t="s">
        <v>1351</v>
      </c>
      <c r="I197" s="182">
        <v>45044</v>
      </c>
      <c r="J197" s="85" t="s">
        <v>1356</v>
      </c>
      <c r="K197" s="85"/>
      <c r="L197" s="85" t="s">
        <v>1357</v>
      </c>
      <c r="M197" s="85" t="s">
        <v>1358</v>
      </c>
      <c r="N197" s="85" t="s">
        <v>1359</v>
      </c>
      <c r="O197" s="172" t="s">
        <v>1360</v>
      </c>
      <c r="P197" s="172">
        <v>300000000</v>
      </c>
      <c r="Q197" s="172">
        <v>231635363</v>
      </c>
      <c r="R197" s="85">
        <v>31323</v>
      </c>
      <c r="S197" s="85" t="s">
        <v>89</v>
      </c>
      <c r="T197" s="85" t="s">
        <v>516</v>
      </c>
      <c r="U197" s="85"/>
      <c r="V197" s="85"/>
      <c r="W197" s="171"/>
      <c r="X197" s="85"/>
      <c r="Y197" s="171"/>
      <c r="Z197" s="85"/>
      <c r="AA197" s="85"/>
      <c r="AB197" s="85"/>
      <c r="AC197" s="85"/>
      <c r="AD197" s="85"/>
      <c r="AE197" s="85"/>
      <c r="AF197" s="85"/>
      <c r="AG197" s="85"/>
      <c r="AH197" s="85"/>
      <c r="AK197" s="85"/>
      <c r="AL197" s="183"/>
      <c r="AM197" s="85"/>
      <c r="AN197" s="171"/>
      <c r="AO197" s="172"/>
      <c r="AP197" s="85"/>
      <c r="AQ197" s="173"/>
      <c r="AR197" s="85"/>
      <c r="AS197" s="173"/>
      <c r="AT197" s="85"/>
      <c r="AU197" s="171"/>
      <c r="AV197" s="171"/>
      <c r="AW197" s="171"/>
      <c r="AX197" s="171"/>
      <c r="AY197" s="81"/>
      <c r="AZ197" s="172"/>
      <c r="BA197" s="85"/>
      <c r="BB197" s="172"/>
      <c r="BC197" s="171"/>
      <c r="BD197" s="85"/>
      <c r="BE197" s="171"/>
      <c r="BF197" s="85"/>
      <c r="BG197" s="171"/>
      <c r="BH197" s="172"/>
      <c r="BI197" s="171"/>
      <c r="BJ197" s="172"/>
      <c r="BK197" s="171"/>
      <c r="BL197" s="171"/>
      <c r="BM197" s="171"/>
      <c r="BN197" s="171"/>
      <c r="BO197" s="85"/>
      <c r="BP197" s="171"/>
      <c r="BQ197" s="171"/>
      <c r="BR197" s="172"/>
      <c r="BS197" s="171"/>
      <c r="BT197" s="85"/>
      <c r="BU197" s="171"/>
      <c r="BV197" s="225"/>
    </row>
    <row r="198" spans="1:74" s="82" customFormat="1" ht="15" customHeight="1" x14ac:dyDescent="0.25">
      <c r="A198" s="80" t="s">
        <v>459</v>
      </c>
      <c r="B198" s="80" t="s">
        <v>460</v>
      </c>
      <c r="C198" s="81" t="s">
        <v>54</v>
      </c>
      <c r="D198" s="224">
        <v>81</v>
      </c>
      <c r="E198" s="85" t="s">
        <v>345</v>
      </c>
      <c r="F198" s="224" t="s">
        <v>1361</v>
      </c>
      <c r="G198" s="171" t="s">
        <v>1362</v>
      </c>
      <c r="H198" s="85" t="s">
        <v>1351</v>
      </c>
      <c r="I198" s="182">
        <v>45043</v>
      </c>
      <c r="J198" s="85" t="s">
        <v>1356</v>
      </c>
      <c r="K198" s="85"/>
      <c r="L198" s="85" t="s">
        <v>1357</v>
      </c>
      <c r="M198" s="85" t="s">
        <v>1363</v>
      </c>
      <c r="N198" s="85" t="s">
        <v>1364</v>
      </c>
      <c r="O198" s="172" t="s">
        <v>785</v>
      </c>
      <c r="P198" s="172">
        <v>368948696</v>
      </c>
      <c r="Q198" s="172">
        <v>368948696</v>
      </c>
      <c r="R198" s="85">
        <v>32923</v>
      </c>
      <c r="S198" s="85" t="s">
        <v>905</v>
      </c>
      <c r="T198" s="85" t="s">
        <v>516</v>
      </c>
      <c r="U198" s="85"/>
      <c r="V198" s="85"/>
      <c r="W198" s="171"/>
      <c r="X198" s="85"/>
      <c r="Y198" s="171"/>
      <c r="Z198" s="85"/>
      <c r="AA198" s="85"/>
      <c r="AB198" s="85"/>
      <c r="AC198" s="85"/>
      <c r="AD198" s="85"/>
      <c r="AE198" s="85"/>
      <c r="AF198" s="85"/>
      <c r="AG198" s="85"/>
      <c r="AH198" s="85"/>
      <c r="AK198" s="85"/>
      <c r="AL198" s="183"/>
      <c r="AM198" s="85"/>
      <c r="AN198" s="171"/>
      <c r="AO198" s="172"/>
      <c r="AP198" s="85"/>
      <c r="AQ198" s="173"/>
      <c r="AR198" s="85"/>
      <c r="AS198" s="173"/>
      <c r="AT198" s="85"/>
      <c r="AU198" s="171"/>
      <c r="AV198" s="171"/>
      <c r="AW198" s="171"/>
      <c r="AX198" s="171"/>
      <c r="AY198" s="81"/>
      <c r="AZ198" s="172"/>
      <c r="BA198" s="85"/>
      <c r="BB198" s="172"/>
      <c r="BC198" s="171"/>
      <c r="BD198" s="85"/>
      <c r="BE198" s="171"/>
      <c r="BF198" s="85"/>
      <c r="BG198" s="171"/>
      <c r="BH198" s="172"/>
      <c r="BI198" s="171"/>
      <c r="BJ198" s="172"/>
      <c r="BK198" s="171"/>
      <c r="BL198" s="171"/>
      <c r="BM198" s="171"/>
      <c r="BN198" s="171"/>
      <c r="BO198" s="85"/>
      <c r="BP198" s="171"/>
      <c r="BQ198" s="171"/>
      <c r="BR198" s="172"/>
      <c r="BS198" s="171"/>
      <c r="BT198" s="85"/>
      <c r="BU198" s="171"/>
      <c r="BV198" s="225"/>
    </row>
    <row r="199" spans="1:74" s="82" customFormat="1" ht="15" customHeight="1" x14ac:dyDescent="0.25">
      <c r="A199" s="80" t="s">
        <v>459</v>
      </c>
      <c r="B199" s="80" t="s">
        <v>460</v>
      </c>
      <c r="C199" s="81" t="s">
        <v>54</v>
      </c>
      <c r="D199" s="224">
        <v>212</v>
      </c>
      <c r="E199" s="85" t="s">
        <v>345</v>
      </c>
      <c r="F199" s="224" t="s">
        <v>1365</v>
      </c>
      <c r="G199" s="171" t="s">
        <v>1366</v>
      </c>
      <c r="H199" s="85" t="s">
        <v>1351</v>
      </c>
      <c r="I199" s="182">
        <v>45044</v>
      </c>
      <c r="J199" s="85" t="s">
        <v>1352</v>
      </c>
      <c r="K199" s="85"/>
      <c r="L199" s="85" t="s">
        <v>61</v>
      </c>
      <c r="M199" s="224" t="s">
        <v>1367</v>
      </c>
      <c r="N199" s="85" t="s">
        <v>1368</v>
      </c>
      <c r="O199" s="172" t="s">
        <v>1369</v>
      </c>
      <c r="P199" s="172">
        <v>500000000</v>
      </c>
      <c r="Q199" s="172">
        <v>500000000</v>
      </c>
      <c r="R199" s="85">
        <v>31923</v>
      </c>
      <c r="S199" s="85" t="s">
        <v>1370</v>
      </c>
      <c r="T199" s="85" t="s">
        <v>516</v>
      </c>
      <c r="U199" s="85"/>
      <c r="V199" s="85"/>
      <c r="W199" s="171"/>
      <c r="X199" s="85"/>
      <c r="Y199" s="171"/>
      <c r="Z199" s="85"/>
      <c r="AA199" s="85"/>
      <c r="AB199" s="85"/>
      <c r="AC199" s="85"/>
      <c r="AD199" s="85"/>
      <c r="AE199" s="85"/>
      <c r="AF199" s="85"/>
      <c r="AG199" s="85"/>
      <c r="AH199" s="85"/>
      <c r="AK199" s="85"/>
      <c r="AL199" s="183"/>
      <c r="AM199" s="85"/>
      <c r="AN199" s="171"/>
      <c r="AO199" s="172"/>
      <c r="AP199" s="85"/>
      <c r="AQ199" s="173"/>
      <c r="AR199" s="85"/>
      <c r="AS199" s="173"/>
      <c r="AT199" s="85"/>
      <c r="AU199" s="171"/>
      <c r="AV199" s="171"/>
      <c r="AW199" s="171"/>
      <c r="AX199" s="171"/>
      <c r="AY199" s="81"/>
      <c r="AZ199" s="172"/>
      <c r="BA199" s="85"/>
      <c r="BB199" s="172"/>
      <c r="BC199" s="171"/>
      <c r="BD199" s="85"/>
      <c r="BE199" s="171"/>
      <c r="BF199" s="85"/>
      <c r="BG199" s="171"/>
      <c r="BH199" s="172"/>
      <c r="BI199" s="171"/>
      <c r="BJ199" s="172"/>
      <c r="BK199" s="171"/>
      <c r="BL199" s="171"/>
      <c r="BM199" s="171"/>
      <c r="BN199" s="171"/>
      <c r="BO199" s="85"/>
      <c r="BP199" s="171"/>
      <c r="BQ199" s="171"/>
      <c r="BR199" s="172"/>
      <c r="BS199" s="171"/>
      <c r="BT199" s="85"/>
      <c r="BU199" s="171"/>
      <c r="BV199" s="225"/>
    </row>
    <row r="200" spans="1:74" s="82" customFormat="1" ht="15" customHeight="1" x14ac:dyDescent="0.25">
      <c r="A200" s="80" t="s">
        <v>459</v>
      </c>
      <c r="B200" s="80" t="s">
        <v>460</v>
      </c>
      <c r="C200" s="81" t="s">
        <v>54</v>
      </c>
      <c r="D200" s="224">
        <v>70</v>
      </c>
      <c r="E200" s="85" t="s">
        <v>345</v>
      </c>
      <c r="F200" s="224" t="s">
        <v>1371</v>
      </c>
      <c r="G200" s="171" t="s">
        <v>1372</v>
      </c>
      <c r="H200" s="85" t="s">
        <v>1351</v>
      </c>
      <c r="I200" s="182">
        <v>45044</v>
      </c>
      <c r="J200" s="85" t="s">
        <v>1356</v>
      </c>
      <c r="K200" s="85"/>
      <c r="L200" s="85" t="s">
        <v>1357</v>
      </c>
      <c r="M200" s="85" t="s">
        <v>1373</v>
      </c>
      <c r="N200" s="226" t="s">
        <v>1374</v>
      </c>
      <c r="O200" s="172" t="s">
        <v>1375</v>
      </c>
      <c r="P200" s="172">
        <v>600000000</v>
      </c>
      <c r="Q200" s="172">
        <v>548273960</v>
      </c>
      <c r="R200" s="85">
        <v>34623</v>
      </c>
      <c r="S200" s="85" t="s">
        <v>905</v>
      </c>
      <c r="T200" s="85" t="s">
        <v>516</v>
      </c>
      <c r="U200" s="85"/>
      <c r="V200" s="85"/>
      <c r="W200" s="171"/>
      <c r="X200" s="85"/>
      <c r="Y200" s="171"/>
      <c r="Z200" s="85"/>
      <c r="AA200" s="85"/>
      <c r="AB200" s="85"/>
      <c r="AC200" s="85"/>
      <c r="AD200" s="85"/>
      <c r="AE200" s="85"/>
      <c r="AF200" s="85"/>
      <c r="AG200" s="85"/>
      <c r="AH200" s="85"/>
      <c r="AK200" s="85"/>
      <c r="AL200" s="183"/>
      <c r="AM200" s="85"/>
      <c r="AN200" s="171"/>
      <c r="AO200" s="172"/>
      <c r="AP200" s="85"/>
      <c r="AQ200" s="173"/>
      <c r="AR200" s="85"/>
      <c r="AS200" s="173"/>
      <c r="AT200" s="85"/>
      <c r="AU200" s="171"/>
      <c r="AV200" s="171"/>
      <c r="AW200" s="171"/>
      <c r="AX200" s="171"/>
      <c r="AY200" s="81"/>
      <c r="AZ200" s="172"/>
      <c r="BA200" s="85"/>
      <c r="BB200" s="172"/>
      <c r="BC200" s="171"/>
      <c r="BD200" s="85"/>
      <c r="BE200" s="171"/>
      <c r="BF200" s="85"/>
      <c r="BG200" s="171"/>
      <c r="BH200" s="172"/>
      <c r="BI200" s="171"/>
      <c r="BJ200" s="172"/>
      <c r="BK200" s="171"/>
      <c r="BL200" s="171"/>
      <c r="BM200" s="171"/>
      <c r="BN200" s="171"/>
      <c r="BO200" s="85"/>
      <c r="BP200" s="171"/>
      <c r="BQ200" s="171"/>
      <c r="BR200" s="172"/>
      <c r="BS200" s="171"/>
      <c r="BT200" s="85"/>
      <c r="BU200" s="171"/>
      <c r="BV200" s="225"/>
    </row>
    <row r="201" spans="1:74" s="65" customFormat="1" ht="15" customHeight="1" x14ac:dyDescent="0.25">
      <c r="A201" s="85" t="s">
        <v>459</v>
      </c>
      <c r="B201" s="85" t="s">
        <v>460</v>
      </c>
      <c r="C201" s="136" t="s">
        <v>481</v>
      </c>
      <c r="D201" s="65">
        <v>146</v>
      </c>
      <c r="E201" s="65" t="s">
        <v>1395</v>
      </c>
      <c r="F201" s="65" t="s">
        <v>1396</v>
      </c>
      <c r="G201" s="65">
        <v>148025</v>
      </c>
      <c r="H201" s="57" t="s">
        <v>1159</v>
      </c>
      <c r="I201" s="71">
        <v>45020</v>
      </c>
      <c r="J201" s="45" t="s">
        <v>492</v>
      </c>
      <c r="K201" s="82" t="s">
        <v>508</v>
      </c>
      <c r="L201" s="85" t="s">
        <v>61</v>
      </c>
      <c r="M201" s="65" t="s">
        <v>1397</v>
      </c>
      <c r="N201" s="85">
        <v>84131603</v>
      </c>
      <c r="O201" s="67" t="s">
        <v>1398</v>
      </c>
      <c r="P201" s="172">
        <v>49000000</v>
      </c>
      <c r="Q201" s="172">
        <v>36951700</v>
      </c>
      <c r="R201" s="65">
        <v>32223</v>
      </c>
      <c r="S201" s="48" t="s">
        <v>507</v>
      </c>
      <c r="T201" s="201" t="s">
        <v>64</v>
      </c>
      <c r="U201" s="201" t="s">
        <v>1198</v>
      </c>
      <c r="W201" s="137">
        <v>108703</v>
      </c>
      <c r="X201" s="65" t="s">
        <v>1159</v>
      </c>
      <c r="Y201" s="227">
        <v>45045</v>
      </c>
      <c r="Z201" s="65" t="s">
        <v>1399</v>
      </c>
      <c r="AB201" s="201" t="s">
        <v>68</v>
      </c>
      <c r="AC201" s="201" t="s">
        <v>1201</v>
      </c>
      <c r="AD201" s="65" t="s">
        <v>1400</v>
      </c>
      <c r="AE201" s="65">
        <v>891700037</v>
      </c>
      <c r="AF201" s="65">
        <v>9</v>
      </c>
      <c r="AL201" s="71"/>
      <c r="AM201" s="201">
        <v>79923</v>
      </c>
      <c r="AN201" s="71">
        <v>45048</v>
      </c>
      <c r="AO201" s="140">
        <v>35623228</v>
      </c>
      <c r="AQ201" s="228"/>
      <c r="AS201" s="140">
        <v>35623228</v>
      </c>
      <c r="AT201" s="45" t="s">
        <v>551</v>
      </c>
      <c r="AU201" s="71"/>
      <c r="AV201" s="71"/>
      <c r="AW201" s="71">
        <v>45048</v>
      </c>
      <c r="AX201" s="171">
        <v>45291</v>
      </c>
      <c r="AY201" s="44">
        <f>(AX201-AW201)</f>
        <v>243</v>
      </c>
      <c r="AZ201" s="67" t="s">
        <v>1401</v>
      </c>
      <c r="BA201" s="45">
        <v>52452907</v>
      </c>
      <c r="BE201" s="71"/>
      <c r="BG201" s="71"/>
      <c r="BH201" s="67"/>
      <c r="BJ201" s="71"/>
      <c r="BK201" s="71"/>
      <c r="BN201" s="71"/>
      <c r="BP201" s="67"/>
      <c r="BQ201" s="71"/>
      <c r="BS201" s="71"/>
    </row>
  </sheetData>
  <conditionalFormatting sqref="AO190">
    <cfRule type="colorScale" priority="36">
      <colorScale>
        <cfvo type="min"/>
        <cfvo type="max"/>
        <color rgb="FFFCFCFF"/>
        <color rgb="FF63BE7B"/>
      </colorScale>
    </cfRule>
  </conditionalFormatting>
  <conditionalFormatting sqref="AD190">
    <cfRule type="colorScale" priority="37">
      <colorScale>
        <cfvo type="min"/>
        <cfvo type="max"/>
        <color rgb="FFFCFCFF"/>
        <color rgb="FF63BE7B"/>
      </colorScale>
    </cfRule>
  </conditionalFormatting>
  <conditionalFormatting sqref="AZ190">
    <cfRule type="colorScale" priority="38">
      <colorScale>
        <cfvo type="min"/>
        <cfvo type="max"/>
        <color rgb="FFFCFCFF"/>
        <color rgb="FF63BE7B"/>
      </colorScale>
    </cfRule>
  </conditionalFormatting>
  <conditionalFormatting sqref="AO191">
    <cfRule type="colorScale" priority="33">
      <colorScale>
        <cfvo type="min"/>
        <cfvo type="max"/>
        <color rgb="FFFCFCFF"/>
        <color rgb="FF63BE7B"/>
      </colorScale>
    </cfRule>
  </conditionalFormatting>
  <conditionalFormatting sqref="AD191">
    <cfRule type="colorScale" priority="34">
      <colorScale>
        <cfvo type="min"/>
        <cfvo type="max"/>
        <color rgb="FFFCFCFF"/>
        <color rgb="FF63BE7B"/>
      </colorScale>
    </cfRule>
  </conditionalFormatting>
  <conditionalFormatting sqref="AZ191">
    <cfRule type="colorScale" priority="35">
      <colorScale>
        <cfvo type="min"/>
        <cfvo type="max"/>
        <color rgb="FFFCFCFF"/>
        <color rgb="FF63BE7B"/>
      </colorScale>
    </cfRule>
  </conditionalFormatting>
  <conditionalFormatting sqref="AO189">
    <cfRule type="colorScale" priority="30">
      <colorScale>
        <cfvo type="min"/>
        <cfvo type="max"/>
        <color rgb="FFFCFCFF"/>
        <color rgb="FF63BE7B"/>
      </colorScale>
    </cfRule>
  </conditionalFormatting>
  <conditionalFormatting sqref="AD189">
    <cfRule type="colorScale" priority="31">
      <colorScale>
        <cfvo type="min"/>
        <cfvo type="max"/>
        <color rgb="FFFCFCFF"/>
        <color rgb="FF63BE7B"/>
      </colorScale>
    </cfRule>
  </conditionalFormatting>
  <conditionalFormatting sqref="AZ189">
    <cfRule type="colorScale" priority="32">
      <colorScale>
        <cfvo type="min"/>
        <cfvo type="max"/>
        <color rgb="FFFCFCFF"/>
        <color rgb="FF63BE7B"/>
      </colorScale>
    </cfRule>
  </conditionalFormatting>
  <conditionalFormatting sqref="AD164">
    <cfRule type="colorScale" priority="28">
      <colorScale>
        <cfvo type="min"/>
        <cfvo type="max"/>
        <color rgb="FFFCFCFF"/>
        <color rgb="FF63BE7B"/>
      </colorScale>
    </cfRule>
  </conditionalFormatting>
  <conditionalFormatting sqref="AZ164">
    <cfRule type="colorScale" priority="29">
      <colorScale>
        <cfvo type="min"/>
        <cfvo type="max"/>
        <color rgb="FFFCFCFF"/>
        <color rgb="FF63BE7B"/>
      </colorScale>
    </cfRule>
  </conditionalFormatting>
  <conditionalFormatting sqref="AD169">
    <cfRule type="colorScale" priority="26">
      <colorScale>
        <cfvo type="min"/>
        <cfvo type="max"/>
        <color rgb="FFFCFCFF"/>
        <color rgb="FF63BE7B"/>
      </colorScale>
    </cfRule>
  </conditionalFormatting>
  <conditionalFormatting sqref="AZ169">
    <cfRule type="colorScale" priority="27">
      <colorScale>
        <cfvo type="min"/>
        <cfvo type="max"/>
        <color rgb="FFFCFCFF"/>
        <color rgb="FF63BE7B"/>
      </colorScale>
    </cfRule>
  </conditionalFormatting>
  <conditionalFormatting sqref="AD170">
    <cfRule type="colorScale" priority="24">
      <colorScale>
        <cfvo type="min"/>
        <cfvo type="max"/>
        <color rgb="FFFCFCFF"/>
        <color rgb="FF63BE7B"/>
      </colorScale>
    </cfRule>
  </conditionalFormatting>
  <conditionalFormatting sqref="AZ170">
    <cfRule type="colorScale" priority="25">
      <colorScale>
        <cfvo type="min"/>
        <cfvo type="max"/>
        <color rgb="FFFCFCFF"/>
        <color rgb="FF63BE7B"/>
      </colorScale>
    </cfRule>
  </conditionalFormatting>
  <conditionalFormatting sqref="AD158">
    <cfRule type="colorScale" priority="22">
      <colorScale>
        <cfvo type="min"/>
        <cfvo type="max"/>
        <color rgb="FFFCFCFF"/>
        <color rgb="FF63BE7B"/>
      </colorScale>
    </cfRule>
  </conditionalFormatting>
  <conditionalFormatting sqref="AZ158">
    <cfRule type="colorScale" priority="23">
      <colorScale>
        <cfvo type="min"/>
        <cfvo type="max"/>
        <color rgb="FFFCFCFF"/>
        <color rgb="FF63BE7B"/>
      </colorScale>
    </cfRule>
  </conditionalFormatting>
  <conditionalFormatting sqref="AD157">
    <cfRule type="colorScale" priority="20">
      <colorScale>
        <cfvo type="min"/>
        <cfvo type="max"/>
        <color rgb="FFFCFCFF"/>
        <color rgb="FF63BE7B"/>
      </colorScale>
    </cfRule>
  </conditionalFormatting>
  <conditionalFormatting sqref="AZ157">
    <cfRule type="colorScale" priority="21">
      <colorScale>
        <cfvo type="min"/>
        <cfvo type="max"/>
        <color rgb="FFFCFCFF"/>
        <color rgb="FF63BE7B"/>
      </colorScale>
    </cfRule>
  </conditionalFormatting>
  <conditionalFormatting sqref="AD159:AD160">
    <cfRule type="colorScale" priority="18">
      <colorScale>
        <cfvo type="min"/>
        <cfvo type="max"/>
        <color rgb="FFFCFCFF"/>
        <color rgb="FF63BE7B"/>
      </colorScale>
    </cfRule>
  </conditionalFormatting>
  <conditionalFormatting sqref="AZ159:AZ160">
    <cfRule type="colorScale" priority="19">
      <colorScale>
        <cfvo type="min"/>
        <cfvo type="max"/>
        <color rgb="FFFCFCFF"/>
        <color rgb="FF63BE7B"/>
      </colorScale>
    </cfRule>
  </conditionalFormatting>
  <conditionalFormatting sqref="AD167">
    <cfRule type="colorScale" priority="16">
      <colorScale>
        <cfvo type="min"/>
        <cfvo type="max"/>
        <color rgb="FFFCFCFF"/>
        <color rgb="FF63BE7B"/>
      </colorScale>
    </cfRule>
  </conditionalFormatting>
  <conditionalFormatting sqref="AZ167">
    <cfRule type="colorScale" priority="17">
      <colorScale>
        <cfvo type="min"/>
        <cfvo type="max"/>
        <color rgb="FFFCFCFF"/>
        <color rgb="FF63BE7B"/>
      </colorScale>
    </cfRule>
  </conditionalFormatting>
  <conditionalFormatting sqref="AD156">
    <cfRule type="colorScale" priority="14">
      <colorScale>
        <cfvo type="min"/>
        <cfvo type="max"/>
        <color rgb="FFFCFCFF"/>
        <color rgb="FF63BE7B"/>
      </colorScale>
    </cfRule>
  </conditionalFormatting>
  <conditionalFormatting sqref="AZ156">
    <cfRule type="colorScale" priority="15">
      <colorScale>
        <cfvo type="min"/>
        <cfvo type="max"/>
        <color rgb="FFFCFCFF"/>
        <color rgb="FF63BE7B"/>
      </colorScale>
    </cfRule>
  </conditionalFormatting>
  <conditionalFormatting sqref="AD172">
    <cfRule type="colorScale" priority="12">
      <colorScale>
        <cfvo type="min"/>
        <cfvo type="max"/>
        <color rgb="FFFCFCFF"/>
        <color rgb="FF63BE7B"/>
      </colorScale>
    </cfRule>
  </conditionalFormatting>
  <conditionalFormatting sqref="AZ172">
    <cfRule type="colorScale" priority="13">
      <colorScale>
        <cfvo type="min"/>
        <cfvo type="max"/>
        <color rgb="FFFCFCFF"/>
        <color rgb="FF63BE7B"/>
      </colorScale>
    </cfRule>
  </conditionalFormatting>
  <conditionalFormatting sqref="AD166">
    <cfRule type="colorScale" priority="10">
      <colorScale>
        <cfvo type="min"/>
        <cfvo type="max"/>
        <color rgb="FFFCFCFF"/>
        <color rgb="FF63BE7B"/>
      </colorScale>
    </cfRule>
  </conditionalFormatting>
  <conditionalFormatting sqref="AZ166">
    <cfRule type="colorScale" priority="11">
      <colorScale>
        <cfvo type="min"/>
        <cfvo type="max"/>
        <color rgb="FFFCFCFF"/>
        <color rgb="FF63BE7B"/>
      </colorScale>
    </cfRule>
  </conditionalFormatting>
  <conditionalFormatting sqref="AD173">
    <cfRule type="colorScale" priority="8">
      <colorScale>
        <cfvo type="min"/>
        <cfvo type="max"/>
        <color rgb="FFFCFCFF"/>
        <color rgb="FF63BE7B"/>
      </colorScale>
    </cfRule>
  </conditionalFormatting>
  <conditionalFormatting sqref="AZ173">
    <cfRule type="colorScale" priority="9">
      <colorScale>
        <cfvo type="min"/>
        <cfvo type="max"/>
        <color rgb="FFFCFCFF"/>
        <color rgb="FF63BE7B"/>
      </colorScale>
    </cfRule>
  </conditionalFormatting>
  <conditionalFormatting sqref="AO174">
    <cfRule type="colorScale" priority="5">
      <colorScale>
        <cfvo type="min"/>
        <cfvo type="max"/>
        <color rgb="FFFCFCFF"/>
        <color rgb="FF63BE7B"/>
      </colorScale>
    </cfRule>
  </conditionalFormatting>
  <conditionalFormatting sqref="AD174">
    <cfRule type="colorScale" priority="6">
      <colorScale>
        <cfvo type="min"/>
        <cfvo type="max"/>
        <color rgb="FFFCFCFF"/>
        <color rgb="FF63BE7B"/>
      </colorScale>
    </cfRule>
  </conditionalFormatting>
  <conditionalFormatting sqref="AZ174">
    <cfRule type="colorScale" priority="7">
      <colorScale>
        <cfvo type="min"/>
        <cfvo type="max"/>
        <color rgb="FFFCFCFF"/>
        <color rgb="FF63BE7B"/>
      </colorScale>
    </cfRule>
  </conditionalFormatting>
  <conditionalFormatting sqref="AD163">
    <cfRule type="colorScale" priority="3">
      <colorScale>
        <cfvo type="min"/>
        <cfvo type="max"/>
        <color rgb="FFFCFCFF"/>
        <color rgb="FF63BE7B"/>
      </colorScale>
    </cfRule>
  </conditionalFormatting>
  <conditionalFormatting sqref="AZ163">
    <cfRule type="colorScale" priority="4">
      <colorScale>
        <cfvo type="min"/>
        <cfvo type="max"/>
        <color rgb="FFFCFCFF"/>
        <color rgb="FF63BE7B"/>
      </colorScale>
    </cfRule>
  </conditionalFormatting>
  <conditionalFormatting sqref="AD168">
    <cfRule type="colorScale" priority="1">
      <colorScale>
        <cfvo type="min"/>
        <cfvo type="max"/>
        <color rgb="FFFCFCFF"/>
        <color rgb="FF63BE7B"/>
      </colorScale>
    </cfRule>
  </conditionalFormatting>
  <conditionalFormatting sqref="AZ168">
    <cfRule type="colorScale" priority="2">
      <colorScale>
        <cfvo type="min"/>
        <cfvo type="max"/>
        <color rgb="FFFCFCFF"/>
        <color rgb="FF63BE7B"/>
      </colorScale>
    </cfRule>
  </conditionalFormatting>
  <dataValidations count="1">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BC57" xr:uid="{F2DAE078-B127-440F-81C4-DE6BEEC219B8}">
      <formula1>1900/1/1</formula1>
      <formula2>3000/1/1</formula2>
    </dataValidation>
  </dataValidations>
  <hyperlinks>
    <hyperlink ref="M89" r:id="rId1" display="javascript:void(0);" xr:uid="{05F46C7C-04A1-4695-B95F-AFA51CC1F5E8}"/>
    <hyperlink ref="W50" r:id="rId2" display="javascript:void(0);" xr:uid="{4AF0B25D-FE93-404E-A788-AA22F8E0EF11}"/>
    <hyperlink ref="M84" r:id="rId3" display="javascript:void(0);" xr:uid="{8E0F59C1-A656-4B87-93E8-E3D9B8E417CE}"/>
    <hyperlink ref="M85" r:id="rId4" display="javascript:void(0);" xr:uid="{973447DB-65A4-455C-93AC-B14DA6A69A5C}"/>
    <hyperlink ref="W85" r:id="rId5" display="javascript:void(0);" xr:uid="{F579402C-BE5B-4D36-8EC8-930B87E48F56}"/>
    <hyperlink ref="G111" r:id="rId6" tooltip="PCD-103-2023-35SYF" display="javascript:void(0);" xr:uid="{42EA3366-2F3D-4229-897B-3BBE6BC19747}"/>
    <hyperlink ref="W155" r:id="rId7" tooltip="Orden de compra 106792" display="https://colombiacompra.coupahost.com/order_headers/106792" xr:uid="{D16B6AAF-D21B-4976-BC73-CB15E463805D}"/>
    <hyperlink ref="G155" r:id="rId8" display="https://colombiacompra.coupahost.com/requisition_headers/183369" xr:uid="{37D1AEE6-98EE-4532-899A-27FFC26C2410}"/>
  </hyperlinks>
  <pageMargins left="0.25" right="0.25" top="0.75" bottom="0.75" header="0.3" footer="0.3"/>
  <pageSetup scale="11" fitToWidth="0" orientation="landscape" r:id="rId9"/>
  <drawing r:id="rId10"/>
  <tableParts count="1">
    <tablePart r:id="rId1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
  <sheetViews>
    <sheetView workbookViewId="0">
      <selection activeCell="E15" sqref="E15"/>
    </sheetView>
  </sheetViews>
  <sheetFormatPr baseColWidth="10" defaultRowHeight="15" x14ac:dyDescent="0.25"/>
  <cols>
    <col min="1" max="1" width="13.7109375" bestFit="1" customWidth="1"/>
    <col min="2" max="2" width="37.42578125" bestFit="1" customWidth="1"/>
    <col min="5" max="5" width="27.42578125" customWidth="1"/>
    <col min="6" max="6" width="53.140625" customWidth="1"/>
  </cols>
  <sheetData>
    <row r="1" spans="1:6" s="21" customFormat="1" x14ac:dyDescent="0.25">
      <c r="A1" s="20" t="s">
        <v>470</v>
      </c>
      <c r="B1" s="20" t="s">
        <v>468</v>
      </c>
      <c r="C1" s="20" t="s">
        <v>476</v>
      </c>
      <c r="D1" s="20" t="s">
        <v>479</v>
      </c>
      <c r="E1" s="20" t="s">
        <v>482</v>
      </c>
      <c r="F1" s="22" t="s">
        <v>484</v>
      </c>
    </row>
    <row r="2" spans="1:6" ht="12.75" customHeight="1" x14ac:dyDescent="0.25">
      <c r="A2" s="17" t="s">
        <v>464</v>
      </c>
      <c r="B2" s="19" t="s">
        <v>469</v>
      </c>
      <c r="C2" s="17" t="s">
        <v>477</v>
      </c>
      <c r="D2" s="19" t="s">
        <v>480</v>
      </c>
      <c r="E2" s="3" t="s">
        <v>55</v>
      </c>
      <c r="F2" s="3" t="s">
        <v>61</v>
      </c>
    </row>
    <row r="3" spans="1:6" x14ac:dyDescent="0.25">
      <c r="A3" s="16" t="s">
        <v>465</v>
      </c>
      <c r="B3" s="15" t="s">
        <v>471</v>
      </c>
      <c r="C3" s="16" t="s">
        <v>478</v>
      </c>
      <c r="D3" s="15" t="s">
        <v>54</v>
      </c>
      <c r="E3" s="3" t="s">
        <v>221</v>
      </c>
      <c r="F3" s="3" t="s">
        <v>78</v>
      </c>
    </row>
    <row r="4" spans="1:6" x14ac:dyDescent="0.25">
      <c r="A4" s="16" t="s">
        <v>466</v>
      </c>
      <c r="B4" s="15" t="s">
        <v>472</v>
      </c>
      <c r="D4" s="15" t="s">
        <v>481</v>
      </c>
      <c r="E4" s="3" t="s">
        <v>344</v>
      </c>
      <c r="F4" s="3" t="s">
        <v>86</v>
      </c>
    </row>
    <row r="5" spans="1:6" x14ac:dyDescent="0.25">
      <c r="A5" s="16" t="s">
        <v>467</v>
      </c>
      <c r="B5" s="15" t="s">
        <v>473</v>
      </c>
      <c r="E5" s="3" t="s">
        <v>345</v>
      </c>
      <c r="F5" s="3" t="s">
        <v>99</v>
      </c>
    </row>
    <row r="6" spans="1:6" x14ac:dyDescent="0.25">
      <c r="B6" s="15" t="s">
        <v>474</v>
      </c>
      <c r="E6" s="3" t="s">
        <v>409</v>
      </c>
      <c r="F6" s="3" t="s">
        <v>136</v>
      </c>
    </row>
    <row r="7" spans="1:6" x14ac:dyDescent="0.25">
      <c r="B7" s="15" t="s">
        <v>475</v>
      </c>
      <c r="E7" s="3" t="s">
        <v>1183</v>
      </c>
      <c r="F7" s="3" t="s">
        <v>150</v>
      </c>
    </row>
    <row r="8" spans="1:6" x14ac:dyDescent="0.25">
      <c r="F8" s="3" t="s">
        <v>166</v>
      </c>
    </row>
    <row r="9" spans="1:6" x14ac:dyDescent="0.25">
      <c r="F9" s="3"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Analisis de Datos</vt:lpstr>
      <vt:lpstr>Contratación 2023 (2)</vt:lpstr>
      <vt:lpstr>Lista</vt:lpstr>
      <vt:lpstr>'Contratación 2023 (2)'!_Hlk125366930</vt:lpstr>
      <vt:lpstr>'Contratación 2023 (2)'!Área_de_impresión</vt:lpstr>
      <vt:lpstr>'Contratación 2023 (2)'!incBuyerDossierDetaillnkRequestName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Alejandra Maria Arcos Medina</cp:lastModifiedBy>
  <cp:lastPrinted>2023-04-13T17:34:29Z</cp:lastPrinted>
  <dcterms:created xsi:type="dcterms:W3CDTF">2023-02-01T20:20:14Z</dcterms:created>
  <dcterms:modified xsi:type="dcterms:W3CDTF">2023-05-31T20:24:00Z</dcterms:modified>
</cp:coreProperties>
</file>